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8_2.bin" ContentType="application/vnd.openxmlformats-officedocument.oleObject"/>
  <Override PartName="/xl/embeddings/oleObject_8_3.bin" ContentType="application/vnd.openxmlformats-officedocument.oleObject"/>
  <Override PartName="/xl/embeddings/oleObject_8_4.bin" ContentType="application/vnd.openxmlformats-officedocument.oleObject"/>
  <Override PartName="/xl/embeddings/oleObject_8_5.bin" ContentType="application/vnd.openxmlformats-officedocument.oleObject"/>
  <Override PartName="/xl/embeddings/oleObject_8_6.bin" ContentType="application/vnd.openxmlformats-officedocument.oleObject"/>
  <Override PartName="/xl/embeddings/oleObject_8_7.bin" ContentType="application/vnd.openxmlformats-officedocument.oleObject"/>
  <Override PartName="/xl/embeddings/oleObject_8_8.bin" ContentType="application/vnd.openxmlformats-officedocument.oleObject"/>
  <Override PartName="/xl/embeddings/oleObject_8_9.bin" ContentType="application/vnd.openxmlformats-officedocument.oleObject"/>
  <Override PartName="/xl/embeddings/oleObject_8_10.bin" ContentType="application/vnd.openxmlformats-officedocument.oleObject"/>
  <Override PartName="/xl/embeddings/oleObject_8_11.bin" ContentType="application/vnd.openxmlformats-officedocument.oleObject"/>
  <Override PartName="/xl/embeddings/oleObject_8_12.bin" ContentType="application/vnd.openxmlformats-officedocument.oleObject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10_2.bin" ContentType="application/vnd.openxmlformats-officedocument.oleObject"/>
  <Override PartName="/xl/embeddings/oleObject_1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06" yWindow="65366" windowWidth="9710" windowHeight="5720" tabRatio="896" activeTab="0"/>
  </bookViews>
  <sheets>
    <sheet name="ANLİZ ÖLÇÜM PROTOKOLÜ" sheetId="1" r:id="rId1"/>
    <sheet name="METOT_TÜR" sheetId="2" r:id="rId2"/>
    <sheet name="VAL-O1" sheetId="3" r:id="rId3"/>
    <sheet name="VAL-OR-As" sheetId="4" r:id="rId4"/>
    <sheet name="DOĞRULUK" sheetId="5" r:id="rId5"/>
    <sheet name="KK" sheetId="6" r:id="rId6"/>
    <sheet name="VAL-DEĞ_PROTOKOL" sheetId="7" r:id="rId7"/>
    <sheet name="ANOVA" sheetId="8" r:id="rId8"/>
    <sheet name="Formüller" sheetId="9" r:id="rId9"/>
    <sheet name="Sheet1" sheetId="10" r:id="rId10"/>
    <sheet name="CRM_test" sheetId="11" r:id="rId11"/>
  </sheets>
  <definedNames/>
  <calcPr fullCalcOnLoad="1"/>
</workbook>
</file>

<file path=xl/sharedStrings.xml><?xml version="1.0" encoding="utf-8"?>
<sst xmlns="http://schemas.openxmlformats.org/spreadsheetml/2006/main" count="683" uniqueCount="283">
  <si>
    <t>Ortalama</t>
  </si>
  <si>
    <t>SD</t>
  </si>
  <si>
    <t>%RSD</t>
  </si>
  <si>
    <t>F</t>
  </si>
  <si>
    <t>Variance</t>
  </si>
  <si>
    <t>df</t>
  </si>
  <si>
    <t>Variable 1</t>
  </si>
  <si>
    <t>Variable 2</t>
  </si>
  <si>
    <t>Mean</t>
  </si>
  <si>
    <t>Observations</t>
  </si>
  <si>
    <t>Hypothesized Mean Difference</t>
  </si>
  <si>
    <t>t Stat</t>
  </si>
  <si>
    <t>P(T&lt;=t) one-tail</t>
  </si>
  <si>
    <t>t Critical one-tail</t>
  </si>
  <si>
    <t>P(T&lt;=t) two-tail</t>
  </si>
  <si>
    <t>t Critical two-tail</t>
  </si>
  <si>
    <t>F-Test Two-Sample for Variances</t>
  </si>
  <si>
    <t>P(F&lt;=f) one-tail</t>
  </si>
  <si>
    <t>F Critical one-tail</t>
  </si>
  <si>
    <t>t-Test: Two-Sample Assuming Equal Variances</t>
  </si>
  <si>
    <t>Pooled Variance</t>
  </si>
  <si>
    <t>Gün</t>
  </si>
  <si>
    <t>Tablo:3  SRM 2710  için tekrarlanabilirlik sonuçları (Gerçek Değer:29.5±1.30)</t>
  </si>
  <si>
    <t>Sertifika Değeri</t>
  </si>
  <si>
    <t>Konsantrasyon  (mg/L)</t>
  </si>
  <si>
    <t>SRM 2710</t>
  </si>
  <si>
    <t>%R</t>
  </si>
  <si>
    <t>U CRM  k=2</t>
  </si>
  <si>
    <t>u(CRM)</t>
  </si>
  <si>
    <t>u(X)</t>
  </si>
  <si>
    <t>u(T)</t>
  </si>
  <si>
    <t>U(T) k=2</t>
  </si>
  <si>
    <t>fark</t>
  </si>
  <si>
    <t>fark &lt;U(T)</t>
  </si>
  <si>
    <t>UYGUN</t>
  </si>
  <si>
    <t>Gerçek Değer:29.5±1.30)</t>
  </si>
  <si>
    <t>Ortalama değer</t>
  </si>
  <si>
    <t>Fark</t>
  </si>
  <si>
    <t>0.74&lt;1.34</t>
  </si>
  <si>
    <t>No</t>
  </si>
  <si>
    <t>ÖRNEK:</t>
  </si>
  <si>
    <t xml:space="preserve"> pH Ölçümü</t>
  </si>
  <si>
    <t>1 adım</t>
  </si>
  <si>
    <t>Başlangıç Kalibrasyon</t>
  </si>
  <si>
    <t>S1</t>
  </si>
  <si>
    <t>S2</t>
  </si>
  <si>
    <t>S1 KONTROL</t>
  </si>
  <si>
    <t>S2 KONTROL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</si>
  <si>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</si>
  <si>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</si>
  <si>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</si>
  <si>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</si>
  <si>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</si>
  <si>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</si>
  <si>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</si>
  <si>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</si>
  <si>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</si>
  <si>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</si>
  <si>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</si>
  <si>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</si>
  <si>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</si>
  <si>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</si>
  <si>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</si>
  <si>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</si>
  <si>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</si>
  <si>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</si>
  <si>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UYGUN DEĞİL</t>
  </si>
  <si>
    <t>KALİBRASYON</t>
  </si>
  <si>
    <t xml:space="preserve"> (FARK MAX. 0.05  pH)</t>
  </si>
  <si>
    <t>max. Sapma 0.05 pH</t>
  </si>
  <si>
    <t>ICP  Pb  analizi</t>
  </si>
  <si>
    <t>S3</t>
  </si>
  <si>
    <t>S4</t>
  </si>
  <si>
    <t>S3 KONTROL</t>
  </si>
  <si>
    <t>sapma max  1 ppb</t>
  </si>
  <si>
    <t>sd</t>
  </si>
  <si>
    <t>2SD</t>
  </si>
  <si>
    <t>10  ppb</t>
  </si>
  <si>
    <t>Fcrt.</t>
  </si>
  <si>
    <t>F&lt;Fcrt</t>
  </si>
  <si>
    <t>t&lt;tcrtr</t>
  </si>
  <si>
    <t>Günlük paralel analiz sonuçları kontrolü için hesaplama tablosu</t>
  </si>
  <si>
    <t xml:space="preserve"> %RSD</t>
  </si>
  <si>
    <t>% r= 2.83*%RSD</t>
  </si>
  <si>
    <t>%r = 2.83*%RSD</t>
  </si>
  <si>
    <t>Analiz No</t>
  </si>
  <si>
    <t>A</t>
  </si>
  <si>
    <t>B</t>
  </si>
  <si>
    <t>ORT</t>
  </si>
  <si>
    <t>% FARK</t>
  </si>
  <si>
    <t>KARAR</t>
  </si>
  <si>
    <t>Ortalama   %RSD</t>
  </si>
  <si>
    <t>Pooled %RSD</t>
  </si>
  <si>
    <t>Standaet Met. %RSD</t>
  </si>
  <si>
    <t>KK. Hedef %RSD</t>
  </si>
  <si>
    <t>TÜ kontrolü için hesaplama tablosu</t>
  </si>
  <si>
    <t>ilk Analiz</t>
  </si>
  <si>
    <t>3. analiz</t>
  </si>
  <si>
    <t>Anova: Single Factor</t>
  </si>
  <si>
    <t>SUMMARY</t>
  </si>
  <si>
    <t>Groups</t>
  </si>
  <si>
    <t>Count</t>
  </si>
  <si>
    <t>Sum</t>
  </si>
  <si>
    <t>Average</t>
  </si>
  <si>
    <t>Column 1</t>
  </si>
  <si>
    <t>Column 2</t>
  </si>
  <si>
    <t>ANOVA</t>
  </si>
  <si>
    <t>Source of Variation</t>
  </si>
  <si>
    <t>SS</t>
  </si>
  <si>
    <t>MS</t>
  </si>
  <si>
    <t>P-value</t>
  </si>
  <si>
    <t>F crit</t>
  </si>
  <si>
    <t>Between Groups</t>
  </si>
  <si>
    <t>Within Groups</t>
  </si>
  <si>
    <t>Total</t>
  </si>
  <si>
    <t>Analiz</t>
  </si>
  <si>
    <t>Ahmet</t>
  </si>
  <si>
    <t>Mine</t>
  </si>
  <si>
    <t>t-Test: Two-Sample Assuming Unequal Variances</t>
  </si>
  <si>
    <t>AA</t>
  </si>
  <si>
    <t>BB</t>
  </si>
  <si>
    <t>Tekrarlanabilirlik Sonuçlarını Değerlendirme Akış Planı</t>
  </si>
  <si>
    <t>1-Tekrarlanabilirlik koşullarında analiz yapılarak sonuçlar hesaplanır.</t>
  </si>
  <si>
    <t>2-Sonuçların dağılımının NORMAL dağılım olup olmadığı kontrol edilir. Sapan değerler varsa atılır.  (OUTLIER TEST ASTM E-178)</t>
  </si>
  <si>
    <t>3-Her iki kişinin sonuçlarının ortalaması standart sapması ve % RSD değerleri hesaplanır.</t>
  </si>
  <si>
    <t>4- F testi yapılarak tekrarlanabilirlikleri kontrol edilir.</t>
  </si>
  <si>
    <t>5-    t  Testi yapılarak ortalamalar arasında fark olup olmadığı kontrol eldir.</t>
  </si>
  <si>
    <t>6- F ve t testi uygunsa ortak tekrarlanabilirlik ( POOLED   % RSD  , RSD ler  yakınsa aritmetik ortalamada olabilir)  % RSD olarak hesaplanır.</t>
  </si>
  <si>
    <t>7-Laboratuvar tekrarlanabilirliği değerlendirilir</t>
  </si>
  <si>
    <t>7a-  Standart metot   varsa standart metottaki %RSD ile karşılaştırılır</t>
  </si>
  <si>
    <t>7b-  Standart yoksa genel formül Horwitz  formülüne göre değerlendirilir.</t>
  </si>
  <si>
    <t>7c-  Amaca uygunluk  kriterine göre değerlendirilie.</t>
  </si>
  <si>
    <t>1-  Tekrarlanabilirlik kontrolü</t>
  </si>
  <si>
    <t>2- Tekrar üretilebilirlik kontrolü</t>
  </si>
  <si>
    <t>3-  Doğruluk Kontrolu</t>
  </si>
  <si>
    <t>4-  Laboraruvarlar arası karşılaştırılabilirkik kontrolü (  Yeterlilik testleri)</t>
  </si>
  <si>
    <t>8- Validasyon spnuçlarının değerlendirilmesi ve kabulu ( ONAY-TEYİT)</t>
  </si>
  <si>
    <t>Concentration,</t>
  </si>
  <si>
    <t>C</t>
  </si>
  <si>
    <t>Mass</t>
  </si>
  <si>
    <t>fraction,</t>
  </si>
  <si>
    <t>PRSD(R)  %</t>
  </si>
  <si>
    <t xml:space="preserve">  % RSDr</t>
  </si>
  <si>
    <t>PRSD(R) = 2 * C ^(-0.15).</t>
  </si>
  <si>
    <t>%</t>
  </si>
  <si>
    <t>1 ppm</t>
  </si>
  <si>
    <t>1 ppb</t>
  </si>
  <si>
    <t xml:space="preserve">HORRAT </t>
  </si>
  <si>
    <t>( 0.5-2 )</t>
  </si>
  <si>
    <t>Sr=</t>
  </si>
  <si>
    <t>%RSDr</t>
  </si>
  <si>
    <t xml:space="preserve"> HORRAT(R) = RSDR / PRSD(R) </t>
  </si>
  <si>
    <t xml:space="preserve">HORRAT(r) = RSDr / PRSD(R) </t>
  </si>
  <si>
    <t>Validasyon sonuçları amaca uygundur.</t>
  </si>
  <si>
    <t>Ölçüm metodunda doğruluk  Kalibrasyonla sağlanır.</t>
  </si>
  <si>
    <t>Örnek pH,  iletkenlik, yoğunluk ölçümü</t>
  </si>
  <si>
    <t>Gravimetrik  Metotta doğruluk   metodun uygulaması  sırasında sağlanır.</t>
  </si>
  <si>
    <t>Sabit tartıma ulaşıldığında bulunan sonuç doğru sonuçtur. ( Primer  Metot)</t>
  </si>
  <si>
    <t xml:space="preserve"> Kalibrasyon için izlenebililr kalibrasyon standardı</t>
  </si>
  <si>
    <t>Spesifiklik kontrolü</t>
  </si>
  <si>
    <t>Örnek  cihazda okunur</t>
  </si>
  <si>
    <t>Örnek+  Standart okunur</t>
  </si>
  <si>
    <t xml:space="preserve"> Aradaki fark kontrol edilir.</t>
  </si>
  <si>
    <t>Örnek (ppm)</t>
  </si>
  <si>
    <t>Standart (ppm)</t>
  </si>
  <si>
    <t>olmalı</t>
  </si>
  <si>
    <t>Örnek +Standart  (ppm)</t>
  </si>
  <si>
    <t>22 ppm den düşük olması</t>
  </si>
  <si>
    <t>Matriks baskısı</t>
  </si>
  <si>
    <t>22 ppm den yüksek</t>
  </si>
  <si>
    <t xml:space="preserve">  Girişim etkisi</t>
  </si>
  <si>
    <t>Analiz  Metodu için</t>
  </si>
  <si>
    <t>İçme Suyundqa As   Analizi</t>
  </si>
  <si>
    <t>Yasal Limit  max   10  ppb</t>
  </si>
  <si>
    <t>Validasyon Parametreleri</t>
  </si>
  <si>
    <t>Tekrarlanabilirlik</t>
  </si>
  <si>
    <t>Val  . Sonuç %RSD</t>
  </si>
  <si>
    <t>Standart Metot %RSD</t>
  </si>
  <si>
    <t>Standart Metoda göre uygun</t>
  </si>
  <si>
    <t>Değerlendirme ( Verification)</t>
  </si>
  <si>
    <t>Onay -Teyit ( Confirmation)</t>
  </si>
  <si>
    <t>Doğruluk</t>
  </si>
  <si>
    <t>CRM</t>
  </si>
  <si>
    <t>±</t>
  </si>
  <si>
    <t>14.6±1.2</t>
  </si>
  <si>
    <r>
      <rPr>
        <sz val="10"/>
        <rFont val="Symbol"/>
        <family val="1"/>
      </rPr>
      <t>D</t>
    </r>
    <r>
      <rPr>
        <sz val="10"/>
        <rFont val="Arial"/>
        <family val="2"/>
      </rPr>
      <t>m</t>
    </r>
  </si>
  <si>
    <t>Um</t>
  </si>
  <si>
    <t>UCRM</t>
  </si>
  <si>
    <r>
      <rPr>
        <sz val="10"/>
        <rFont val="Arial"/>
        <family val="2"/>
      </rPr>
      <t>U</t>
    </r>
    <r>
      <rPr>
        <sz val="10"/>
        <rFont val="Symbol"/>
        <family val="1"/>
      </rPr>
      <t xml:space="preserve"> (D)</t>
    </r>
  </si>
  <si>
    <t>LOQ</t>
  </si>
  <si>
    <t>PPB</t>
  </si>
  <si>
    <t>Validasyon</t>
  </si>
  <si>
    <t>LOQ  (ppb)</t>
  </si>
  <si>
    <t>1&lt;10/5=2</t>
  </si>
  <si>
    <t>Validasyon Örnek-1</t>
  </si>
  <si>
    <t>Oran</t>
  </si>
  <si>
    <t>Sr</t>
  </si>
  <si>
    <t>Yasal  Limit  max. 10 ppb</t>
  </si>
  <si>
    <t>Lab. Sonuç</t>
  </si>
  <si>
    <t>1  ppb</t>
  </si>
  <si>
    <t>Hedef  LOQ</t>
  </si>
  <si>
    <t xml:space="preserve">   min Limit//5</t>
  </si>
  <si>
    <t>Horwitz    Eşitliği</t>
  </si>
  <si>
    <t>%RSDr=C^-0.15</t>
  </si>
  <si>
    <t>Standart Metod değil</t>
  </si>
  <si>
    <t>Horrat  0.5-2  olmalı</t>
  </si>
  <si>
    <t>Onay ( Confirmation)</t>
  </si>
  <si>
    <t>Horrat r ( RSDr/RSDp)</t>
  </si>
  <si>
    <t>Kömürde  Kül Tayini</t>
  </si>
  <si>
    <t>Aralık %5-%15</t>
  </si>
  <si>
    <t>Tekrar Ürertilebilirlik</t>
  </si>
  <si>
    <t>%  Kül</t>
  </si>
  <si>
    <t>r  %</t>
  </si>
  <si>
    <t xml:space="preserve"> 074&lt;1.78</t>
  </si>
  <si>
    <t>Sabit tartıma kadar yakıldığında bulunan sonuç doğrudur.</t>
  </si>
  <si>
    <t>% Kül</t>
  </si>
  <si>
    <t>NOT:  Deneysel  metot olduğundan   mutlak doğruluk   belirlenemez.</t>
  </si>
  <si>
    <t>Metot Türü (  Metodun geçmişine-kaynağına göre)</t>
  </si>
  <si>
    <t xml:space="preserve">Analiz  Metot Türü </t>
  </si>
  <si>
    <t>Kalitatif</t>
  </si>
  <si>
    <t>Kantitatif</t>
  </si>
  <si>
    <t>Saflık-Limit</t>
  </si>
  <si>
    <t>Saflık- Miktar</t>
  </si>
  <si>
    <t>Assay</t>
  </si>
  <si>
    <t>Kalitatif Tanımlama (var-Yok)</t>
  </si>
  <si>
    <t>Tarama  ( Screening)</t>
  </si>
  <si>
    <t>Analiz  Metot Türü   (  Konsantrasyona göre)</t>
  </si>
  <si>
    <t>Analiz  Metot Türü  ( Kullanım amacına göre)</t>
  </si>
  <si>
    <t>Doğrulama ( Cofirmation)</t>
  </si>
  <si>
    <t>Tekrar Üretilebilirlik</t>
  </si>
  <si>
    <t>LOD</t>
  </si>
  <si>
    <t xml:space="preserve"> Geri Kazanım</t>
  </si>
  <si>
    <t>Kalibrasyon</t>
  </si>
  <si>
    <t>Ölçüm  Metodu</t>
  </si>
  <si>
    <t>Analiz  Metodu</t>
  </si>
  <si>
    <t>Test   Metodu</t>
  </si>
  <si>
    <t>Metot  Türleri ( Metrolojik  prensibi-Fiziksel-Kimyasal)</t>
  </si>
  <si>
    <t>Standart  Metot</t>
  </si>
  <si>
    <t>Tek laboratuvarda geliştirilmiş metot ( In-House Metot)</t>
  </si>
  <si>
    <t>Değiştirilmiş Standart veya Valide edilmil Metot  ( Add-Hoc metot)</t>
  </si>
  <si>
    <t>Deneysel  Metot  ( Empirical  Metot)</t>
  </si>
  <si>
    <t>Laboratuvarda geliştirilmiş metot ( In-House Metot)</t>
  </si>
  <si>
    <t xml:space="preserve"> -</t>
  </si>
  <si>
    <t xml:space="preserve"> +</t>
  </si>
  <si>
    <t>Lineer Aralık</t>
  </si>
  <si>
    <t>KALİTATİF</t>
  </si>
  <si>
    <t>KANTİTATİF</t>
  </si>
  <si>
    <t xml:space="preserve">LOD  Detection limit   CCß   </t>
  </si>
  <si>
    <t xml:space="preserve">LOQ  Karar Limiti (desicion) CCa  </t>
  </si>
  <si>
    <t>Uygulanabilirlik -Stabilite</t>
  </si>
  <si>
    <t>LOD  (  Eser  analiz  için)</t>
  </si>
  <si>
    <t>LOQ  ( Eser  analiz için)</t>
  </si>
  <si>
    <t>Spesifiklik/ Seçicilik</t>
  </si>
  <si>
    <t>Geri Kazanım</t>
  </si>
  <si>
    <t xml:space="preserve">      Tarama       ( Screening)</t>
  </si>
  <si>
    <t xml:space="preserve">          Tarama            ( Screening)</t>
  </si>
  <si>
    <t xml:space="preserve">       Doğrulama         ( Cofirmation)</t>
  </si>
  <si>
    <t xml:space="preserve">       Doğrulama        ( Cofirmation)</t>
  </si>
  <si>
    <r>
      <t>Deney Alanı - Deneyi Yapılan Malzemeler/Ürünler</t>
    </r>
    <r>
      <rPr>
        <b/>
        <vertAlign val="superscript"/>
        <sz val="10"/>
        <rFont val="Arial"/>
        <family val="2"/>
      </rPr>
      <t>4</t>
    </r>
  </si>
  <si>
    <r>
      <t>Testing Field -Tested Materials/Products</t>
    </r>
    <r>
      <rPr>
        <i/>
        <vertAlign val="superscript"/>
        <sz val="8"/>
        <rFont val="Arial"/>
        <family val="2"/>
      </rPr>
      <t>4</t>
    </r>
  </si>
  <si>
    <r>
      <t>Deney Adı /</t>
    </r>
    <r>
      <rPr>
        <i/>
        <sz val="8"/>
        <rFont val="Arial"/>
        <family val="2"/>
      </rPr>
      <t>Name of Test</t>
    </r>
  </si>
  <si>
    <t>Deney Metodu</t>
  </si>
  <si>
    <t>(Ulusal, uluslararası standartlar, işletme-içi metodlar)</t>
  </si>
  <si>
    <t>Testing Method (national, international standards, in-house methods)</t>
  </si>
  <si>
    <t>İçme    Suyu</t>
  </si>
  <si>
    <t>pH  Ölçümü</t>
  </si>
  <si>
    <t>Kurşun Analizi</t>
  </si>
  <si>
    <t>Kömür</t>
  </si>
  <si>
    <t>Nem  Tayini</t>
  </si>
  <si>
    <t>Kükürt  Analizi-Tyaini</t>
  </si>
  <si>
    <t>Meyve   Ve Sebze</t>
  </si>
  <si>
    <t>Pestisit Kalıntı Analizi</t>
  </si>
  <si>
    <t>Fındık Ezmesi</t>
  </si>
  <si>
    <t>Aflatoksin Analizi</t>
  </si>
  <si>
    <t>Tüm Gıdalarda</t>
  </si>
  <si>
    <t>ISG     Çalışama Ortamı</t>
  </si>
  <si>
    <t>Termal Konfor Ölçümü</t>
  </si>
  <si>
    <t>Gürültü Ölçümü</t>
  </si>
  <si>
    <t>Çekme Testi</t>
  </si>
  <si>
    <t>Çelik  İnşaat  Malzemelri</t>
  </si>
  <si>
    <t xml:space="preserve">Spesifiklik(Specifity)
Seçicilik (Selectivity)
Tekrarlanabilirlik(Repeatability)
Tekrar Üretilebilirlik (Reproducibility)
Doğruluk (Accuracy)
Geri Kazanım ( Recovery)
Lineerlik (Linearity)
Ölçüm Aralığı (Range)
Tayin Limiti( Limit of detection, LOD)
Ölçüm Limiti( Limit of quantitation, LOQ)
 </t>
  </si>
  <si>
    <t>VALİDASYON SONRASI   KALİTE  KONTROL</t>
  </si>
  <si>
    <t>Değiştirilmiş Standart veya Valide edilmiş Metot  ( Add-Hoc metot)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</si>
</sst>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00"/>
    <numFmt numFmtId="185" formatCode="0.0000"/>
    <numFmt numFmtId="186" formatCode="#,##0.00\ _T_L"/>
    <numFmt numFmtId="187" formatCode="0.00000000"/>
    <numFmt numFmtId="188" formatCode="0.0000000"/>
    <numFmt numFmtId="189" formatCode="0.000000"/>
    <numFmt numFmtId="190" formatCode="0.0"/>
    <numFmt numFmtId="191" formatCode="0.00000E+00"/>
    <numFmt numFmtId="192" formatCode="0.000000000"/>
    <numFmt numFmtId="193" formatCode="0.0000000000"/>
    <numFmt numFmtId="194" formatCode="0.00000000000"/>
    <numFmt numFmtId="195" formatCode="0.000000000000"/>
    <numFmt numFmtId="196" formatCode="0.0000E+00"/>
    <numFmt numFmtId="197" formatCode="0.000E+00"/>
    <numFmt numFmtId="198" formatCode="0.0E+00"/>
    <numFmt numFmtId="199" formatCode="0E+00"/>
    <numFmt numFmtId="200" formatCode="0.0000000000000"/>
    <numFmt numFmtId="201" formatCode="[$€-2]\ #,##0.00_);[Red]\([$€-2]\ #,##0.00\)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 TUR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name val="Symbol"/>
      <family val="1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rgb="FF0000FF"/>
      <name val="Arial"/>
      <family val="2"/>
    </font>
    <font>
      <sz val="10"/>
      <color rgb="FF0000FF"/>
      <name val="Arial"/>
      <family val="2"/>
    </font>
    <font>
      <sz val="12"/>
      <color rgb="FF0000CC"/>
      <name val="Arial"/>
      <family val="2"/>
    </font>
    <font>
      <sz val="12"/>
      <color rgb="FF000000"/>
      <name val="Arial"/>
      <family val="2"/>
    </font>
    <font>
      <b/>
      <sz val="14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6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190" fontId="5" fillId="33" borderId="11" xfId="0" applyNumberFormat="1" applyFont="1" applyFill="1" applyBorder="1" applyAlignment="1">
      <alignment horizontal="center"/>
    </xf>
    <xf numFmtId="2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/>
    </xf>
    <xf numFmtId="2" fontId="5" fillId="34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80" fontId="0" fillId="0" borderId="11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9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5" borderId="0" xfId="0" applyFill="1" applyAlignment="1">
      <alignment/>
    </xf>
    <xf numFmtId="0" fontId="57" fillId="35" borderId="0" xfId="0" applyFont="1" applyFill="1" applyAlignment="1">
      <alignment/>
    </xf>
    <xf numFmtId="0" fontId="0" fillId="0" borderId="0" xfId="0" applyFont="1" applyAlignment="1">
      <alignment/>
    </xf>
    <xf numFmtId="2" fontId="0" fillId="35" borderId="0" xfId="0" applyNumberFormat="1" applyFill="1" applyAlignment="1">
      <alignment/>
    </xf>
    <xf numFmtId="0" fontId="0" fillId="35" borderId="0" xfId="0" applyFont="1" applyFill="1" applyAlignment="1">
      <alignment/>
    </xf>
    <xf numFmtId="190" fontId="0" fillId="35" borderId="0" xfId="0" applyNumberForma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57" applyFill="1" applyBorder="1" applyAlignment="1">
      <alignment/>
      <protection/>
    </xf>
    <xf numFmtId="190" fontId="4" fillId="0" borderId="11" xfId="57" applyNumberFormat="1" applyFont="1" applyFill="1" applyBorder="1" applyAlignment="1">
      <alignment horizontal="center"/>
      <protection/>
    </xf>
    <xf numFmtId="0" fontId="0" fillId="0" borderId="11" xfId="57" applyFill="1" applyBorder="1">
      <alignment/>
      <protection/>
    </xf>
    <xf numFmtId="190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57" fillId="0" borderId="11" xfId="0" applyNumberFormat="1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2" fontId="0" fillId="36" borderId="0" xfId="0" applyNumberFormat="1" applyFill="1" applyBorder="1" applyAlignment="1">
      <alignment/>
    </xf>
    <xf numFmtId="2" fontId="0" fillId="36" borderId="12" xfId="0" applyNumberFormat="1" applyFill="1" applyBorder="1" applyAlignment="1">
      <alignment/>
    </xf>
    <xf numFmtId="190" fontId="58" fillId="37" borderId="0" xfId="0" applyNumberFormat="1" applyFont="1" applyFill="1" applyBorder="1" applyAlignment="1">
      <alignment/>
    </xf>
    <xf numFmtId="190" fontId="58" fillId="37" borderId="12" xfId="0" applyNumberFormat="1" applyFont="1" applyFill="1" applyBorder="1" applyAlignment="1">
      <alignment/>
    </xf>
    <xf numFmtId="190" fontId="57" fillId="37" borderId="0" xfId="0" applyNumberFormat="1" applyFont="1" applyFill="1" applyBorder="1" applyAlignment="1">
      <alignment/>
    </xf>
    <xf numFmtId="0" fontId="0" fillId="37" borderId="0" xfId="0" applyFill="1" applyAlignment="1">
      <alignment/>
    </xf>
    <xf numFmtId="2" fontId="58" fillId="37" borderId="0" xfId="0" applyNumberFormat="1" applyFont="1" applyFill="1" applyBorder="1" applyAlignment="1">
      <alignment/>
    </xf>
    <xf numFmtId="2" fontId="58" fillId="37" borderId="12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58" fillId="36" borderId="0" xfId="0" applyNumberFormat="1" applyFont="1" applyFill="1" applyBorder="1" applyAlignment="1">
      <alignment/>
    </xf>
    <xf numFmtId="2" fontId="58" fillId="36" borderId="12" xfId="0" applyNumberFormat="1" applyFont="1" applyFill="1" applyBorder="1" applyAlignment="1">
      <alignment/>
    </xf>
    <xf numFmtId="190" fontId="0" fillId="36" borderId="0" xfId="0" applyNumberFormat="1" applyFill="1" applyBorder="1" applyAlignment="1">
      <alignment/>
    </xf>
    <xf numFmtId="2" fontId="58" fillId="37" borderId="0" xfId="0" applyNumberFormat="1" applyFont="1" applyFill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5" fillId="0" borderId="11" xfId="0" applyFont="1" applyFill="1" applyBorder="1" applyAlignment="1">
      <alignment horizontal="center"/>
    </xf>
    <xf numFmtId="190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2" fontId="57" fillId="0" borderId="0" xfId="0" applyNumberFormat="1" applyFont="1" applyFill="1" applyBorder="1" applyAlignment="1">
      <alignment horizontal="center"/>
    </xf>
    <xf numFmtId="0" fontId="57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190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180" fontId="0" fillId="0" borderId="11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57" fillId="0" borderId="0" xfId="0" applyNumberFormat="1" applyFont="1" applyFill="1" applyAlignment="1">
      <alignment/>
    </xf>
    <xf numFmtId="0" fontId="7" fillId="0" borderId="11" xfId="57" applyFont="1" applyFill="1" applyBorder="1" applyAlignment="1">
      <alignment/>
      <protection/>
    </xf>
    <xf numFmtId="0" fontId="7" fillId="0" borderId="11" xfId="57" applyFont="1" applyFill="1" applyBorder="1" applyAlignment="1">
      <alignment horizontal="center"/>
      <protection/>
    </xf>
    <xf numFmtId="0" fontId="0" fillId="0" borderId="11" xfId="57" applyFill="1" applyBorder="1" applyAlignment="1">
      <alignment horizontal="center"/>
      <protection/>
    </xf>
    <xf numFmtId="2" fontId="0" fillId="0" borderId="11" xfId="57" applyNumberFormat="1" applyFill="1" applyBorder="1" applyAlignment="1">
      <alignment horizontal="center"/>
      <protection/>
    </xf>
    <xf numFmtId="180" fontId="0" fillId="0" borderId="11" xfId="57" applyNumberFormat="1" applyFill="1" applyBorder="1" applyAlignment="1">
      <alignment horizontal="center"/>
      <protection/>
    </xf>
    <xf numFmtId="0" fontId="57" fillId="0" borderId="0" xfId="0" applyFont="1" applyFill="1" applyBorder="1" applyAlignment="1">
      <alignment/>
    </xf>
    <xf numFmtId="2" fontId="0" fillId="0" borderId="11" xfId="0" applyNumberFormat="1" applyFill="1" applyBorder="1" applyAlignment="1">
      <alignment horizontal="center"/>
    </xf>
    <xf numFmtId="2" fontId="57" fillId="0" borderId="11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 vertical="center"/>
    </xf>
    <xf numFmtId="0" fontId="0" fillId="0" borderId="11" xfId="0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0" fontId="57" fillId="0" borderId="0" xfId="0" applyFont="1" applyFill="1" applyAlignment="1">
      <alignment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190" fontId="57" fillId="0" borderId="1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190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Border="1" applyAlignment="1">
      <alignment/>
    </xf>
    <xf numFmtId="180" fontId="0" fillId="0" borderId="11" xfId="0" applyNumberFormat="1" applyFont="1" applyBorder="1" applyAlignment="1">
      <alignment horizontal="center"/>
    </xf>
    <xf numFmtId="185" fontId="0" fillId="0" borderId="11" xfId="0" applyNumberFormat="1" applyBorder="1" applyAlignment="1">
      <alignment/>
    </xf>
    <xf numFmtId="0" fontId="57" fillId="38" borderId="11" xfId="0" applyFont="1" applyFill="1" applyBorder="1" applyAlignment="1">
      <alignment/>
    </xf>
    <xf numFmtId="0" fontId="57" fillId="38" borderId="0" xfId="0" applyFont="1" applyFill="1" applyAlignment="1">
      <alignment/>
    </xf>
    <xf numFmtId="0" fontId="60" fillId="0" borderId="0" xfId="0" applyFont="1" applyAlignment="1">
      <alignment/>
    </xf>
    <xf numFmtId="0" fontId="60" fillId="38" borderId="0" xfId="0" applyFont="1" applyFill="1" applyAlignment="1">
      <alignment/>
    </xf>
    <xf numFmtId="1" fontId="57" fillId="38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190" fontId="57" fillId="37" borderId="11" xfId="0" applyNumberFormat="1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57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190" fontId="57" fillId="0" borderId="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12" fillId="0" borderId="0" xfId="0" applyFont="1" applyAlignment="1">
      <alignment/>
    </xf>
    <xf numFmtId="0" fontId="60" fillId="0" borderId="0" xfId="0" applyFont="1" applyFill="1" applyAlignment="1">
      <alignment/>
    </xf>
    <xf numFmtId="2" fontId="0" fillId="0" borderId="11" xfId="0" applyNumberFormat="1" applyFont="1" applyBorder="1" applyAlignment="1">
      <alignment/>
    </xf>
    <xf numFmtId="0" fontId="57" fillId="0" borderId="0" xfId="0" applyFont="1" applyAlignment="1">
      <alignment/>
    </xf>
    <xf numFmtId="0" fontId="61" fillId="0" borderId="0" xfId="0" applyFont="1" applyAlignment="1">
      <alignment horizontal="left" vertical="center" readingOrder="1"/>
    </xf>
    <xf numFmtId="0" fontId="8" fillId="0" borderId="11" xfId="0" applyFont="1" applyBorder="1" applyAlignment="1">
      <alignment/>
    </xf>
    <xf numFmtId="0" fontId="8" fillId="0" borderId="0" xfId="0" applyFont="1" applyAlignment="1">
      <alignment vertical="center"/>
    </xf>
    <xf numFmtId="0" fontId="62" fillId="0" borderId="0" xfId="0" applyFont="1" applyAlignment="1">
      <alignment vertical="center" readingOrder="1"/>
    </xf>
    <xf numFmtId="0" fontId="8" fillId="0" borderId="0" xfId="0" applyFont="1" applyAlignment="1">
      <alignment vertical="center" readingOrder="1"/>
    </xf>
    <xf numFmtId="0" fontId="61" fillId="0" borderId="0" xfId="0" applyFont="1" applyAlignment="1">
      <alignment vertical="center" readingOrder="1"/>
    </xf>
    <xf numFmtId="0" fontId="61" fillId="0" borderId="11" xfId="0" applyFont="1" applyBorder="1" applyAlignment="1">
      <alignment horizontal="left" vertical="center" readingOrder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 readingOrder="1"/>
    </xf>
    <xf numFmtId="0" fontId="8" fillId="0" borderId="0" xfId="0" applyFont="1" applyAlignment="1">
      <alignment wrapText="1"/>
    </xf>
    <xf numFmtId="0" fontId="12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center" wrapText="1"/>
    </xf>
    <xf numFmtId="2" fontId="0" fillId="37" borderId="0" xfId="0" applyNumberFormat="1" applyFill="1" applyBorder="1" applyAlignment="1">
      <alignment/>
    </xf>
    <xf numFmtId="2" fontId="0" fillId="37" borderId="12" xfId="0" applyNumberFormat="1" applyFill="1" applyBorder="1" applyAlignment="1">
      <alignment/>
    </xf>
    <xf numFmtId="0" fontId="58" fillId="0" borderId="0" xfId="0" applyFont="1" applyAlignment="1">
      <alignment/>
    </xf>
    <xf numFmtId="0" fontId="63" fillId="0" borderId="0" xfId="0" applyFont="1" applyAlignment="1">
      <alignment horizontal="left"/>
    </xf>
    <xf numFmtId="0" fontId="17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80" fontId="0" fillId="0" borderId="0" xfId="0" applyNumberFormat="1" applyAlignment="1">
      <alignment/>
    </xf>
    <xf numFmtId="0" fontId="8" fillId="0" borderId="11" xfId="0" applyFont="1" applyBorder="1" applyAlignment="1">
      <alignment horizontal="center"/>
    </xf>
    <xf numFmtId="0" fontId="57" fillId="38" borderId="11" xfId="0" applyFont="1" applyFill="1" applyBorder="1" applyAlignment="1">
      <alignment horizontal="center"/>
    </xf>
    <xf numFmtId="0" fontId="57" fillId="39" borderId="14" xfId="0" applyFont="1" applyFill="1" applyBorder="1" applyAlignment="1">
      <alignment horizontal="center"/>
    </xf>
    <xf numFmtId="0" fontId="57" fillId="39" borderId="15" xfId="0" applyFont="1" applyFill="1" applyBorder="1" applyAlignment="1">
      <alignment horizontal="center"/>
    </xf>
    <xf numFmtId="0" fontId="12" fillId="0" borderId="11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6.emf" /><Relationship Id="rId3" Type="http://schemas.openxmlformats.org/officeDocument/2006/relationships/image" Target="../media/image24.emf" /><Relationship Id="rId4" Type="http://schemas.openxmlformats.org/officeDocument/2006/relationships/image" Target="../media/image27.emf" /><Relationship Id="rId5" Type="http://schemas.openxmlformats.org/officeDocument/2006/relationships/image" Target="../media/image28.emf" /><Relationship Id="rId6" Type="http://schemas.openxmlformats.org/officeDocument/2006/relationships/image" Target="../media/image29.emf" /><Relationship Id="rId7" Type="http://schemas.openxmlformats.org/officeDocument/2006/relationships/image" Target="../media/image30.emf" /><Relationship Id="rId8" Type="http://schemas.openxmlformats.org/officeDocument/2006/relationships/image" Target="../media/image21.emf" /><Relationship Id="rId9" Type="http://schemas.openxmlformats.org/officeDocument/2006/relationships/image" Target="../media/image31.emf" /><Relationship Id="rId10" Type="http://schemas.openxmlformats.org/officeDocument/2006/relationships/image" Target="../media/image32.emf" /><Relationship Id="rId11" Type="http://schemas.openxmlformats.org/officeDocument/2006/relationships/image" Target="../media/image33.emf" /><Relationship Id="rId12" Type="http://schemas.openxmlformats.org/officeDocument/2006/relationships/image" Target="../media/image3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3.emf" /><Relationship Id="rId3" Type="http://schemas.openxmlformats.org/officeDocument/2006/relationships/image" Target="../media/image1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4.emf" /><Relationship Id="rId3" Type="http://schemas.openxmlformats.org/officeDocument/2006/relationships/image" Target="../media/image19.emf" /><Relationship Id="rId4" Type="http://schemas.openxmlformats.org/officeDocument/2006/relationships/image" Target="../media/image19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3.emf" /><Relationship Id="rId3" Type="http://schemas.openxmlformats.org/officeDocument/2006/relationships/image" Target="../media/image10.emf" /><Relationship Id="rId4" Type="http://schemas.openxmlformats.org/officeDocument/2006/relationships/image" Target="../media/image9.emf" /><Relationship Id="rId5" Type="http://schemas.openxmlformats.org/officeDocument/2006/relationships/image" Target="../media/image8.emf" /><Relationship Id="rId6" Type="http://schemas.openxmlformats.org/officeDocument/2006/relationships/image" Target="../media/image11.emf" /><Relationship Id="rId7" Type="http://schemas.openxmlformats.org/officeDocument/2006/relationships/image" Target="../media/image14.emf" /><Relationship Id="rId8" Type="http://schemas.openxmlformats.org/officeDocument/2006/relationships/image" Target="../media/image15.emf" /><Relationship Id="rId9" Type="http://schemas.openxmlformats.org/officeDocument/2006/relationships/image" Target="../media/image17.emf" /><Relationship Id="rId10" Type="http://schemas.openxmlformats.org/officeDocument/2006/relationships/image" Target="../media/image5.emf" /><Relationship Id="rId11" Type="http://schemas.openxmlformats.org/officeDocument/2006/relationships/image" Target="../media/image19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7.emf" /><Relationship Id="rId3" Type="http://schemas.openxmlformats.org/officeDocument/2006/relationships/image" Target="../media/image18.emf" /><Relationship Id="rId4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571500</xdr:colOff>
      <xdr:row>39</xdr:row>
      <xdr:rowOff>47625</xdr:rowOff>
    </xdr:from>
    <xdr:to>
      <xdr:col>30</xdr:col>
      <xdr:colOff>38100</xdr:colOff>
      <xdr:row>66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53850" y="6248400"/>
          <a:ext cx="7600950" cy="461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885825</xdr:colOff>
      <xdr:row>52</xdr:row>
      <xdr:rowOff>19050</xdr:rowOff>
    </xdr:from>
    <xdr:to>
      <xdr:col>7</xdr:col>
      <xdr:colOff>400050</xdr:colOff>
      <xdr:row>54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8543925"/>
          <a:ext cx="2162175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504825</xdr:colOff>
      <xdr:row>45</xdr:row>
      <xdr:rowOff>0</xdr:rowOff>
    </xdr:from>
    <xdr:to>
      <xdr:col>5</xdr:col>
      <xdr:colOff>333375</xdr:colOff>
      <xdr:row>47</xdr:row>
      <xdr:rowOff>114300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6934200"/>
          <a:ext cx="1047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66</xdr:row>
      <xdr:rowOff>57150</xdr:rowOff>
    </xdr:from>
    <xdr:to>
      <xdr:col>12</xdr:col>
      <xdr:colOff>542925</xdr:colOff>
      <xdr:row>74</xdr:row>
      <xdr:rowOff>123825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10296525"/>
          <a:ext cx="39719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447675</xdr:colOff>
      <xdr:row>18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3619500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17</xdr:row>
      <xdr:rowOff>0</xdr:rowOff>
    </xdr:from>
    <xdr:to>
      <xdr:col>8</xdr:col>
      <xdr:colOff>9525</xdr:colOff>
      <xdr:row>18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3276600"/>
          <a:ext cx="12287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4</xdr:row>
      <xdr:rowOff>57150</xdr:rowOff>
    </xdr:from>
    <xdr:to>
      <xdr:col>12</xdr:col>
      <xdr:colOff>571500</xdr:colOff>
      <xdr:row>11</xdr:row>
      <xdr:rowOff>95250</xdr:rowOff>
    </xdr:to>
    <xdr:grpSp>
      <xdr:nvGrpSpPr>
        <xdr:cNvPr id="1" name="Group 17"/>
        <xdr:cNvGrpSpPr>
          <a:grpSpLocks/>
        </xdr:cNvGrpSpPr>
      </xdr:nvGrpSpPr>
      <xdr:grpSpPr>
        <a:xfrm flipV="1">
          <a:off x="6572250" y="790575"/>
          <a:ext cx="2276475" cy="1371600"/>
          <a:chOff x="7164624" y="1102660"/>
          <a:chExt cx="1638785" cy="1342012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7164624" y="1252965"/>
            <a:ext cx="773507" cy="9568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3"/>
          <xdr:cNvSpPr>
            <a:spLocks/>
          </xdr:cNvSpPr>
        </xdr:nvSpPr>
        <xdr:spPr>
          <a:xfrm>
            <a:off x="7768926" y="1102660"/>
            <a:ext cx="1034483" cy="13420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9525</xdr:colOff>
      <xdr:row>54</xdr:row>
      <xdr:rowOff>0</xdr:rowOff>
    </xdr:from>
    <xdr:to>
      <xdr:col>13</xdr:col>
      <xdr:colOff>200025</xdr:colOff>
      <xdr:row>60</xdr:row>
      <xdr:rowOff>76200</xdr:rowOff>
    </xdr:to>
    <xdr:grpSp>
      <xdr:nvGrpSpPr>
        <xdr:cNvPr id="4" name="Group 21"/>
        <xdr:cNvGrpSpPr>
          <a:grpSpLocks/>
        </xdr:cNvGrpSpPr>
      </xdr:nvGrpSpPr>
      <xdr:grpSpPr>
        <a:xfrm>
          <a:off x="7067550" y="9191625"/>
          <a:ext cx="2019300" cy="1152525"/>
          <a:chOff x="7126941" y="9260541"/>
          <a:chExt cx="2277035" cy="1343799"/>
        </a:xfrm>
        <a:solidFill>
          <a:srgbClr val="FFFFFF"/>
        </a:solidFill>
      </xdr:grpSpPr>
      <xdr:sp>
        <xdr:nvSpPr>
          <xdr:cNvPr id="5" name="Oval 5"/>
          <xdr:cNvSpPr>
            <a:spLocks/>
          </xdr:cNvSpPr>
        </xdr:nvSpPr>
        <xdr:spPr>
          <a:xfrm flipV="1">
            <a:off x="7126941" y="9496714"/>
            <a:ext cx="1074191" cy="9598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6"/>
          <xdr:cNvSpPr>
            <a:spLocks/>
          </xdr:cNvSpPr>
        </xdr:nvSpPr>
        <xdr:spPr>
          <a:xfrm flipV="1">
            <a:off x="8301322" y="9474541"/>
            <a:ext cx="844780" cy="87111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495300</xdr:colOff>
      <xdr:row>101</xdr:row>
      <xdr:rowOff>95250</xdr:rowOff>
    </xdr:from>
    <xdr:to>
      <xdr:col>12</xdr:col>
      <xdr:colOff>123825</xdr:colOff>
      <xdr:row>106</xdr:row>
      <xdr:rowOff>28575</xdr:rowOff>
    </xdr:to>
    <xdr:grpSp>
      <xdr:nvGrpSpPr>
        <xdr:cNvPr id="7" name="Group 25"/>
        <xdr:cNvGrpSpPr>
          <a:grpSpLocks/>
        </xdr:cNvGrpSpPr>
      </xdr:nvGrpSpPr>
      <xdr:grpSpPr>
        <a:xfrm>
          <a:off x="6943725" y="16935450"/>
          <a:ext cx="1457325" cy="742950"/>
          <a:chOff x="7185404" y="17822826"/>
          <a:chExt cx="1588316" cy="712800"/>
        </a:xfrm>
        <a:solidFill>
          <a:srgbClr val="FFFFFF"/>
        </a:solidFill>
      </xdr:grpSpPr>
      <xdr:sp>
        <xdr:nvSpPr>
          <xdr:cNvPr id="8" name="Oval 8"/>
          <xdr:cNvSpPr>
            <a:spLocks/>
          </xdr:cNvSpPr>
        </xdr:nvSpPr>
        <xdr:spPr>
          <a:xfrm flipV="1">
            <a:off x="7185404" y="17822826"/>
            <a:ext cx="890648" cy="7128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9"/>
          <xdr:cNvSpPr>
            <a:spLocks/>
          </xdr:cNvSpPr>
        </xdr:nvSpPr>
        <xdr:spPr>
          <a:xfrm flipV="1">
            <a:off x="7903720" y="17841537"/>
            <a:ext cx="870000" cy="65025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866775</xdr:colOff>
      <xdr:row>11</xdr:row>
      <xdr:rowOff>142875</xdr:rowOff>
    </xdr:from>
    <xdr:to>
      <xdr:col>15</xdr:col>
      <xdr:colOff>47625</xdr:colOff>
      <xdr:row>18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1924050"/>
          <a:ext cx="52292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27</xdr:row>
      <xdr:rowOff>85725</xdr:rowOff>
    </xdr:from>
    <xdr:to>
      <xdr:col>13</xdr:col>
      <xdr:colOff>219075</xdr:colOff>
      <xdr:row>40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4457700"/>
          <a:ext cx="368617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428625</xdr:colOff>
      <xdr:row>21</xdr:row>
      <xdr:rowOff>114300</xdr:rowOff>
    </xdr:from>
    <xdr:to>
      <xdr:col>10</xdr:col>
      <xdr:colOff>485775</xdr:colOff>
      <xdr:row>23</xdr:row>
      <xdr:rowOff>95250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00825" y="3514725"/>
          <a:ext cx="1276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15</xdr:col>
      <xdr:colOff>466725</xdr:colOff>
      <xdr:row>72</xdr:row>
      <xdr:rowOff>114300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62600" y="6553200"/>
          <a:ext cx="5343525" cy="529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77</xdr:row>
      <xdr:rowOff>76200</xdr:rowOff>
    </xdr:from>
    <xdr:to>
      <xdr:col>17</xdr:col>
      <xdr:colOff>533400</xdr:colOff>
      <xdr:row>95</xdr:row>
      <xdr:rowOff>57150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24675" y="12620625"/>
          <a:ext cx="526732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38</xdr:row>
      <xdr:rowOff>104775</xdr:rowOff>
    </xdr:from>
    <xdr:to>
      <xdr:col>5</xdr:col>
      <xdr:colOff>857250</xdr:colOff>
      <xdr:row>44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" y="6334125"/>
          <a:ext cx="37242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133350</xdr:rowOff>
    </xdr:from>
    <xdr:to>
      <xdr:col>5</xdr:col>
      <xdr:colOff>771525</xdr:colOff>
      <xdr:row>77</xdr:row>
      <xdr:rowOff>133350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0086975"/>
          <a:ext cx="421957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56</xdr:row>
      <xdr:rowOff>152400</xdr:rowOff>
    </xdr:from>
    <xdr:to>
      <xdr:col>3</xdr:col>
      <xdr:colOff>295275</xdr:colOff>
      <xdr:row>59</xdr:row>
      <xdr:rowOff>95250</xdr:rowOff>
    </xdr:to>
    <xdr:pic>
      <xdr:nvPicPr>
        <xdr:cNvPr id="8" name="Picture 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95375" y="9296400"/>
          <a:ext cx="1028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8</xdr:col>
      <xdr:colOff>66675</xdr:colOff>
      <xdr:row>89</xdr:row>
      <xdr:rowOff>85725</xdr:rowOff>
    </xdr:to>
    <xdr:pic>
      <xdr:nvPicPr>
        <xdr:cNvPr id="9" name="Picture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3192125"/>
          <a:ext cx="62388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56</xdr:row>
      <xdr:rowOff>161925</xdr:rowOff>
    </xdr:from>
    <xdr:to>
      <xdr:col>5</xdr:col>
      <xdr:colOff>600075</xdr:colOff>
      <xdr:row>59</xdr:row>
      <xdr:rowOff>19050</xdr:rowOff>
    </xdr:to>
    <xdr:pic>
      <xdr:nvPicPr>
        <xdr:cNvPr id="10" name="Picture 2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914650" y="9305925"/>
          <a:ext cx="1133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96</xdr:row>
      <xdr:rowOff>133350</xdr:rowOff>
    </xdr:from>
    <xdr:to>
      <xdr:col>5</xdr:col>
      <xdr:colOff>866775</xdr:colOff>
      <xdr:row>113</xdr:row>
      <xdr:rowOff>114300</xdr:rowOff>
    </xdr:to>
    <xdr:pic>
      <xdr:nvPicPr>
        <xdr:cNvPr id="11" name="Picture 2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5750" y="15754350"/>
          <a:ext cx="40290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9</xdr:col>
      <xdr:colOff>190500</xdr:colOff>
      <xdr:row>124</xdr:row>
      <xdr:rowOff>9525</xdr:rowOff>
    </xdr:to>
    <xdr:pic>
      <xdr:nvPicPr>
        <xdr:cNvPr id="12" name="Picture 2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18859500"/>
          <a:ext cx="63627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504825</xdr:colOff>
      <xdr:row>6</xdr:row>
      <xdr:rowOff>180975</xdr:rowOff>
    </xdr:from>
    <xdr:to>
      <xdr:col>10</xdr:col>
      <xdr:colOff>238125</xdr:colOff>
      <xdr:row>15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390650"/>
          <a:ext cx="38671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oleObject" Target="../embeddings/oleObject_10_2.bin" /><Relationship Id="rId4" Type="http://schemas.openxmlformats.org/officeDocument/2006/relationships/oleObject" Target="../embeddings/oleObject_10_3.bin" /><Relationship Id="rId5" Type="http://schemas.openxmlformats.org/officeDocument/2006/relationships/vmlDrawing" Target="../drawings/vmlDrawing4.vml" /><Relationship Id="rId6" Type="http://schemas.openxmlformats.org/officeDocument/2006/relationships/drawing" Target="../drawings/drawing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oleObject" Target="../embeddings/oleObject_8_2.bin" /><Relationship Id="rId4" Type="http://schemas.openxmlformats.org/officeDocument/2006/relationships/oleObject" Target="../embeddings/oleObject_8_3.bin" /><Relationship Id="rId5" Type="http://schemas.openxmlformats.org/officeDocument/2006/relationships/oleObject" Target="../embeddings/oleObject_8_4.bin" /><Relationship Id="rId6" Type="http://schemas.openxmlformats.org/officeDocument/2006/relationships/oleObject" Target="../embeddings/oleObject_8_5.bin" /><Relationship Id="rId7" Type="http://schemas.openxmlformats.org/officeDocument/2006/relationships/oleObject" Target="../embeddings/oleObject_8_6.bin" /><Relationship Id="rId8" Type="http://schemas.openxmlformats.org/officeDocument/2006/relationships/oleObject" Target="../embeddings/oleObject_8_7.bin" /><Relationship Id="rId9" Type="http://schemas.openxmlformats.org/officeDocument/2006/relationships/oleObject" Target="../embeddings/oleObject_8_8.bin" /><Relationship Id="rId10" Type="http://schemas.openxmlformats.org/officeDocument/2006/relationships/oleObject" Target="../embeddings/oleObject_8_9.bin" /><Relationship Id="rId11" Type="http://schemas.openxmlformats.org/officeDocument/2006/relationships/oleObject" Target="../embeddings/oleObject_8_10.bin" /><Relationship Id="rId12" Type="http://schemas.openxmlformats.org/officeDocument/2006/relationships/oleObject" Target="../embeddings/oleObject_8_11.bin" /><Relationship Id="rId13" Type="http://schemas.openxmlformats.org/officeDocument/2006/relationships/oleObject" Target="../embeddings/oleObject_8_12.bin" /><Relationship Id="rId14" Type="http://schemas.openxmlformats.org/officeDocument/2006/relationships/vmlDrawing" Target="../drawings/vmlDrawing3.vml" /><Relationship Id="rId15" Type="http://schemas.openxmlformats.org/officeDocument/2006/relationships/drawing" Target="../drawings/drawing6.xml" /><Relationship Id="rId1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73"/>
  <sheetViews>
    <sheetView tabSelected="1" zoomScale="145" zoomScaleNormal="145" zoomScalePageLayoutView="0" workbookViewId="0" topLeftCell="A1">
      <selection activeCell="F53" sqref="F53"/>
    </sheetView>
  </sheetViews>
  <sheetFormatPr defaultColWidth="9.140625" defaultRowHeight="12.75"/>
  <cols>
    <col min="2" max="2" width="12.57421875" style="0" customWidth="1"/>
  </cols>
  <sheetData>
    <row r="3" spans="2:3" ht="12">
      <c r="B3" s="23" t="s">
        <v>40</v>
      </c>
      <c r="C3" s="23" t="s">
        <v>41</v>
      </c>
    </row>
    <row r="5" ht="12">
      <c r="B5" t="s">
        <v>42</v>
      </c>
    </row>
    <row r="6" ht="12">
      <c r="B6" t="s">
        <v>43</v>
      </c>
    </row>
    <row r="8" spans="2:4" ht="12">
      <c r="B8" t="s">
        <v>44</v>
      </c>
      <c r="C8" s="21">
        <v>4</v>
      </c>
      <c r="D8" t="s">
        <v>69</v>
      </c>
    </row>
    <row r="9" spans="2:3" ht="12">
      <c r="B9" t="s">
        <v>45</v>
      </c>
      <c r="C9" s="21">
        <v>7</v>
      </c>
    </row>
    <row r="10" spans="2:3" ht="12">
      <c r="B10" t="s">
        <v>46</v>
      </c>
      <c r="C10" s="21">
        <v>4.01</v>
      </c>
    </row>
    <row r="11" spans="2:3" ht="12">
      <c r="B11" t="s">
        <v>47</v>
      </c>
      <c r="C11" s="21">
        <v>7.01</v>
      </c>
    </row>
    <row r="12" spans="2:3" ht="12">
      <c r="B12" t="s">
        <v>48</v>
      </c>
      <c r="C12" s="21">
        <v>6.85</v>
      </c>
    </row>
    <row r="13" spans="2:3" ht="12">
      <c r="B13" t="s">
        <v>49</v>
      </c>
      <c r="C13" s="21">
        <v>7.23</v>
      </c>
    </row>
    <row r="14" spans="2:3" ht="12">
      <c r="B14" t="s">
        <v>50</v>
      </c>
      <c r="C14" s="21">
        <v>7.14</v>
      </c>
    </row>
    <row r="15" spans="2:3" ht="12">
      <c r="B15" t="s">
        <v>51</v>
      </c>
      <c r="C15" s="21">
        <v>6.85</v>
      </c>
    </row>
    <row r="16" spans="2:3" ht="12">
      <c r="B16" t="s">
        <v>52</v>
      </c>
      <c r="C16" s="21"/>
    </row>
    <row r="17" ht="12">
      <c r="B17" t="s">
        <v>53</v>
      </c>
    </row>
    <row r="18" ht="12">
      <c r="B18" t="s">
        <v>54</v>
      </c>
    </row>
    <row r="19" ht="12">
      <c r="B19" t="s">
        <v>55</v>
      </c>
    </row>
    <row r="20" ht="12">
      <c r="B20" t="s">
        <v>56</v>
      </c>
    </row>
    <row r="21" ht="12">
      <c r="B21" t="s">
        <v>57</v>
      </c>
    </row>
    <row r="22" spans="2:4" ht="12">
      <c r="B22" t="s">
        <v>47</v>
      </c>
      <c r="C22">
        <v>7.03</v>
      </c>
      <c r="D22" t="s">
        <v>34</v>
      </c>
    </row>
    <row r="23" ht="12">
      <c r="B23" t="s">
        <v>58</v>
      </c>
    </row>
    <row r="24" ht="12">
      <c r="B24" t="s">
        <v>59</v>
      </c>
    </row>
    <row r="25" ht="12">
      <c r="B25" t="s">
        <v>60</v>
      </c>
    </row>
    <row r="26" ht="12">
      <c r="B26" t="s">
        <v>61</v>
      </c>
    </row>
    <row r="27" ht="12">
      <c r="B27" t="s">
        <v>62</v>
      </c>
    </row>
    <row r="28" spans="2:3" ht="12">
      <c r="B28" t="s">
        <v>63</v>
      </c>
      <c r="C28">
        <v>7.34</v>
      </c>
    </row>
    <row r="29" spans="2:3" ht="12">
      <c r="B29" t="s">
        <v>64</v>
      </c>
      <c r="C29">
        <v>7.45</v>
      </c>
    </row>
    <row r="30" spans="2:3" ht="12">
      <c r="B30" t="s">
        <v>65</v>
      </c>
      <c r="C30">
        <v>7.65</v>
      </c>
    </row>
    <row r="31" spans="2:4" ht="12">
      <c r="B31" t="s">
        <v>47</v>
      </c>
      <c r="C31">
        <v>7.08</v>
      </c>
      <c r="D31" t="s">
        <v>66</v>
      </c>
    </row>
    <row r="32" ht="12">
      <c r="B32" t="s">
        <v>67</v>
      </c>
    </row>
    <row r="33" spans="2:3" ht="12">
      <c r="B33" t="s">
        <v>44</v>
      </c>
      <c r="C33" s="21">
        <v>4</v>
      </c>
    </row>
    <row r="34" spans="2:3" ht="12">
      <c r="B34" t="s">
        <v>45</v>
      </c>
      <c r="C34" s="21">
        <v>7</v>
      </c>
    </row>
    <row r="35" spans="2:3" ht="12">
      <c r="B35" t="s">
        <v>65</v>
      </c>
      <c r="C35">
        <v>7.34</v>
      </c>
    </row>
    <row r="36" spans="2:3" ht="12">
      <c r="B36" t="s">
        <v>64</v>
      </c>
      <c r="C36">
        <v>7.35</v>
      </c>
    </row>
    <row r="37" spans="2:5" ht="12">
      <c r="B37" t="s">
        <v>63</v>
      </c>
      <c r="C37">
        <v>7.22</v>
      </c>
      <c r="D37" t="s">
        <v>34</v>
      </c>
      <c r="E37" t="s">
        <v>68</v>
      </c>
    </row>
    <row r="44" spans="2:3" ht="12">
      <c r="B44" s="23" t="s">
        <v>40</v>
      </c>
      <c r="C44" s="23" t="s">
        <v>70</v>
      </c>
    </row>
    <row r="46" spans="2:6" ht="12">
      <c r="B46" t="s">
        <v>44</v>
      </c>
      <c r="C46" s="21">
        <v>10</v>
      </c>
      <c r="F46">
        <v>30.5</v>
      </c>
    </row>
    <row r="47" spans="2:6" ht="12">
      <c r="B47" t="s">
        <v>45</v>
      </c>
      <c r="C47" s="21">
        <v>20</v>
      </c>
      <c r="F47">
        <v>29.6</v>
      </c>
    </row>
    <row r="48" spans="2:6" ht="12">
      <c r="B48" s="22" t="s">
        <v>71</v>
      </c>
      <c r="C48" s="25">
        <v>30</v>
      </c>
      <c r="F48">
        <v>30.2</v>
      </c>
    </row>
    <row r="49" spans="2:6" ht="12">
      <c r="B49" t="s">
        <v>72</v>
      </c>
      <c r="C49" s="21">
        <v>50</v>
      </c>
      <c r="F49">
        <v>29.6</v>
      </c>
    </row>
    <row r="50" spans="2:6" ht="12">
      <c r="B50" t="s">
        <v>48</v>
      </c>
      <c r="C50" s="20">
        <v>32.4</v>
      </c>
      <c r="F50">
        <v>29.3</v>
      </c>
    </row>
    <row r="51" spans="2:3" ht="12">
      <c r="B51" t="s">
        <v>49</v>
      </c>
      <c r="C51" s="20">
        <v>25.2</v>
      </c>
    </row>
    <row r="52" spans="2:6" ht="12">
      <c r="B52" t="s">
        <v>50</v>
      </c>
      <c r="C52" s="20">
        <v>34.6</v>
      </c>
      <c r="E52" s="24" t="s">
        <v>75</v>
      </c>
      <c r="F52" s="21">
        <f>STDEV(F46:F51)</f>
        <v>0.4929503017546488</v>
      </c>
    </row>
    <row r="53" spans="2:6" ht="12">
      <c r="B53" t="s">
        <v>51</v>
      </c>
      <c r="C53" s="20">
        <v>27.3</v>
      </c>
      <c r="E53" s="26" t="s">
        <v>76</v>
      </c>
      <c r="F53" s="25">
        <f>F52*2</f>
        <v>0.9859006035092976</v>
      </c>
    </row>
    <row r="54" spans="2:3" ht="12">
      <c r="B54" t="s">
        <v>52</v>
      </c>
      <c r="C54" s="20"/>
    </row>
    <row r="55" spans="2:3" ht="12">
      <c r="B55" t="s">
        <v>53</v>
      </c>
      <c r="C55" s="20"/>
    </row>
    <row r="56" spans="2:3" ht="12">
      <c r="B56" t="s">
        <v>54</v>
      </c>
      <c r="C56" s="20"/>
    </row>
    <row r="57" spans="2:3" ht="12">
      <c r="B57" t="s">
        <v>55</v>
      </c>
      <c r="C57" s="20"/>
    </row>
    <row r="58" spans="2:3" ht="12">
      <c r="B58" t="s">
        <v>56</v>
      </c>
      <c r="C58" s="20"/>
    </row>
    <row r="59" spans="2:3" ht="12">
      <c r="B59" t="s">
        <v>57</v>
      </c>
      <c r="C59" s="20"/>
    </row>
    <row r="60" spans="2:5" ht="12">
      <c r="B60" s="26" t="s">
        <v>73</v>
      </c>
      <c r="C60" s="27">
        <v>29.4</v>
      </c>
      <c r="D60" s="26" t="s">
        <v>74</v>
      </c>
      <c r="E60" s="22"/>
    </row>
    <row r="61" spans="2:3" ht="12">
      <c r="B61" t="s">
        <v>58</v>
      </c>
      <c r="C61" s="20">
        <v>25.2</v>
      </c>
    </row>
    <row r="62" spans="2:3" ht="12">
      <c r="B62" t="s">
        <v>59</v>
      </c>
      <c r="C62" s="20">
        <v>34.6</v>
      </c>
    </row>
    <row r="63" ht="12">
      <c r="B63" t="s">
        <v>60</v>
      </c>
    </row>
    <row r="64" ht="12">
      <c r="B64" t="s">
        <v>61</v>
      </c>
    </row>
    <row r="65" ht="12">
      <c r="B65" t="s">
        <v>62</v>
      </c>
    </row>
    <row r="66" ht="12">
      <c r="B66" t="s">
        <v>63</v>
      </c>
    </row>
    <row r="67" ht="12">
      <c r="B67" t="s">
        <v>64</v>
      </c>
    </row>
    <row r="68" ht="12">
      <c r="B68" t="s">
        <v>65</v>
      </c>
    </row>
    <row r="69" spans="2:3" ht="12">
      <c r="B69" s="26" t="s">
        <v>73</v>
      </c>
      <c r="C69" s="22">
        <v>30.7</v>
      </c>
    </row>
    <row r="70" spans="2:3" ht="12">
      <c r="B70" t="s">
        <v>65</v>
      </c>
      <c r="C70" s="20">
        <v>32.4</v>
      </c>
    </row>
    <row r="71" spans="2:3" ht="12">
      <c r="B71" t="s">
        <v>64</v>
      </c>
      <c r="C71" s="20">
        <v>25.2</v>
      </c>
    </row>
    <row r="72" spans="2:3" ht="12">
      <c r="B72" t="s">
        <v>63</v>
      </c>
      <c r="C72" s="20">
        <v>34.6</v>
      </c>
    </row>
    <row r="73" ht="12">
      <c r="C73" s="20">
        <v>27.3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4:E20"/>
  <sheetViews>
    <sheetView zoomScalePageLayoutView="0" workbookViewId="0" topLeftCell="A13">
      <selection activeCell="C4" sqref="C4:E16"/>
    </sheetView>
  </sheetViews>
  <sheetFormatPr defaultColWidth="9.140625" defaultRowHeight="12.75"/>
  <cols>
    <col min="1" max="2" width="8.7109375" style="24" customWidth="1"/>
    <col min="3" max="3" width="44.140625" style="24" customWidth="1"/>
    <col min="4" max="4" width="27.421875" style="24" customWidth="1"/>
    <col min="5" max="5" width="34.28125" style="24" customWidth="1"/>
    <col min="6" max="16384" width="8.7109375" style="24" customWidth="1"/>
  </cols>
  <sheetData>
    <row r="4" spans="3:5" ht="15">
      <c r="C4" s="128" t="s">
        <v>258</v>
      </c>
      <c r="D4" s="146" t="s">
        <v>260</v>
      </c>
      <c r="E4" s="128" t="s">
        <v>261</v>
      </c>
    </row>
    <row r="5" spans="3:5" ht="22.5">
      <c r="C5" s="129" t="s">
        <v>259</v>
      </c>
      <c r="D5" s="146"/>
      <c r="E5" s="130" t="s">
        <v>262</v>
      </c>
    </row>
    <row r="6" spans="3:5" ht="19.5">
      <c r="C6" s="133"/>
      <c r="D6" s="146"/>
      <c r="E6" s="129" t="s">
        <v>263</v>
      </c>
    </row>
    <row r="7" spans="3:5" ht="15">
      <c r="C7" s="134" t="s">
        <v>264</v>
      </c>
      <c r="D7" s="131" t="s">
        <v>265</v>
      </c>
      <c r="E7" s="147" t="s">
        <v>280</v>
      </c>
    </row>
    <row r="8" spans="3:5" ht="15">
      <c r="C8" s="134" t="s">
        <v>264</v>
      </c>
      <c r="D8" s="131" t="s">
        <v>266</v>
      </c>
      <c r="E8" s="148"/>
    </row>
    <row r="9" spans="3:5" ht="15">
      <c r="C9" s="134" t="s">
        <v>267</v>
      </c>
      <c r="D9" s="131" t="s">
        <v>268</v>
      </c>
      <c r="E9" s="148"/>
    </row>
    <row r="10" spans="3:5" ht="15">
      <c r="C10" s="134" t="s">
        <v>267</v>
      </c>
      <c r="D10" s="131" t="s">
        <v>269</v>
      </c>
      <c r="E10" s="148"/>
    </row>
    <row r="11" spans="3:5" ht="12">
      <c r="C11" s="132" t="s">
        <v>270</v>
      </c>
      <c r="D11" s="131" t="s">
        <v>271</v>
      </c>
      <c r="E11" s="148"/>
    </row>
    <row r="12" spans="3:5" ht="12">
      <c r="C12" s="132" t="s">
        <v>272</v>
      </c>
      <c r="D12" s="131" t="s">
        <v>273</v>
      </c>
      <c r="E12" s="148"/>
    </row>
    <row r="13" spans="3:5" ht="12">
      <c r="C13" s="132" t="s">
        <v>274</v>
      </c>
      <c r="D13" s="131" t="s">
        <v>268</v>
      </c>
      <c r="E13" s="148"/>
    </row>
    <row r="14" spans="3:5" ht="12">
      <c r="C14" s="132" t="s">
        <v>275</v>
      </c>
      <c r="D14" s="131" t="s">
        <v>276</v>
      </c>
      <c r="E14" s="148"/>
    </row>
    <row r="15" spans="3:5" ht="12">
      <c r="C15" s="132" t="s">
        <v>275</v>
      </c>
      <c r="D15" s="131" t="s">
        <v>277</v>
      </c>
      <c r="E15" s="148"/>
    </row>
    <row r="16" spans="3:5" ht="12">
      <c r="C16" s="97" t="s">
        <v>279</v>
      </c>
      <c r="D16" s="97" t="s">
        <v>278</v>
      </c>
      <c r="E16" s="149"/>
    </row>
    <row r="17" spans="3:5" ht="12">
      <c r="C17" s="97"/>
      <c r="D17" s="97"/>
      <c r="E17" s="97"/>
    </row>
    <row r="18" spans="3:5" ht="12">
      <c r="C18" s="97"/>
      <c r="D18" s="97"/>
      <c r="E18" s="97"/>
    </row>
    <row r="19" spans="3:5" ht="12">
      <c r="C19" s="97"/>
      <c r="D19" s="97"/>
      <c r="E19" s="97"/>
    </row>
    <row r="20" spans="3:5" ht="12">
      <c r="C20" s="97"/>
      <c r="D20" s="97"/>
      <c r="E20" s="97"/>
    </row>
  </sheetData>
  <sheetProtection/>
  <mergeCells count="2">
    <mergeCell ref="D4:D6"/>
    <mergeCell ref="E7:E1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C51"/>
  <sheetViews>
    <sheetView zoomScalePageLayoutView="0" workbookViewId="0" topLeftCell="A16">
      <selection activeCell="E23" sqref="E23"/>
    </sheetView>
  </sheetViews>
  <sheetFormatPr defaultColWidth="8.8515625" defaultRowHeight="12.75"/>
  <cols>
    <col min="1" max="1" width="8.8515625" style="2" customWidth="1"/>
    <col min="2" max="2" width="25.57421875" style="2" customWidth="1"/>
    <col min="3" max="3" width="12.421875" style="2" customWidth="1"/>
    <col min="4" max="16384" width="8.8515625" style="2" customWidth="1"/>
  </cols>
  <sheetData>
    <row r="1" ht="13.5">
      <c r="B1" s="3" t="s">
        <v>22</v>
      </c>
    </row>
    <row r="2" ht="13.5">
      <c r="B2" s="3"/>
    </row>
    <row r="3" spans="2:3" ht="13.5">
      <c r="B3" s="2" t="s">
        <v>23</v>
      </c>
      <c r="C3" s="4">
        <v>29.5</v>
      </c>
    </row>
    <row r="4" spans="2:3" ht="27.75">
      <c r="B4" s="150" t="s">
        <v>21</v>
      </c>
      <c r="C4" s="5" t="s">
        <v>24</v>
      </c>
    </row>
    <row r="5" spans="2:3" ht="13.5">
      <c r="B5" s="150"/>
      <c r="C5" s="5" t="s">
        <v>25</v>
      </c>
    </row>
    <row r="6" spans="2:3" ht="13.5">
      <c r="B6" s="5">
        <v>1</v>
      </c>
      <c r="C6" s="6">
        <v>29.48</v>
      </c>
    </row>
    <row r="7" spans="2:3" ht="15">
      <c r="B7" s="5">
        <v>2</v>
      </c>
      <c r="C7" s="6">
        <v>29.66</v>
      </c>
    </row>
    <row r="8" spans="2:3" ht="15">
      <c r="B8" s="5">
        <v>3</v>
      </c>
      <c r="C8" s="6">
        <v>29.9</v>
      </c>
    </row>
    <row r="9" spans="2:3" ht="15">
      <c r="B9" s="5">
        <v>4</v>
      </c>
      <c r="C9" s="6">
        <v>30.32</v>
      </c>
    </row>
    <row r="10" spans="2:3" ht="15">
      <c r="B10" s="5">
        <v>5</v>
      </c>
      <c r="C10" s="6">
        <v>30.12</v>
      </c>
    </row>
    <row r="11" spans="2:3" ht="15">
      <c r="B11" s="5">
        <v>6</v>
      </c>
      <c r="C11" s="6">
        <v>30.54</v>
      </c>
    </row>
    <row r="12" spans="2:3" ht="15">
      <c r="B12" s="5">
        <v>7</v>
      </c>
      <c r="C12" s="6">
        <v>30.76</v>
      </c>
    </row>
    <row r="13" spans="2:3" ht="15">
      <c r="B13" s="5">
        <v>8</v>
      </c>
      <c r="C13" s="6">
        <v>30.96</v>
      </c>
    </row>
    <row r="14" spans="2:3" ht="15">
      <c r="B14" s="5">
        <v>9</v>
      </c>
      <c r="C14" s="6">
        <v>30.66</v>
      </c>
    </row>
    <row r="15" spans="2:3" ht="15">
      <c r="B15" s="5">
        <v>10</v>
      </c>
      <c r="C15" s="6">
        <v>29.98</v>
      </c>
    </row>
    <row r="16" spans="2:3" ht="15">
      <c r="B16" s="5"/>
      <c r="C16" s="6"/>
    </row>
    <row r="17" spans="2:3" ht="13.5">
      <c r="B17" s="7" t="s">
        <v>0</v>
      </c>
      <c r="C17" s="8">
        <f>AVERAGE(C6:C16)</f>
        <v>30.238</v>
      </c>
    </row>
    <row r="18" spans="2:3" ht="13.5">
      <c r="B18" s="7" t="s">
        <v>1</v>
      </c>
      <c r="C18" s="9">
        <f>STDEV(C6:C15)</f>
        <v>0.4913880566540283</v>
      </c>
    </row>
    <row r="19" spans="2:3" ht="13.5">
      <c r="B19" s="10" t="s">
        <v>2</v>
      </c>
      <c r="C19" s="11">
        <f>C18*100/C17</f>
        <v>1.6250679828494883</v>
      </c>
    </row>
    <row r="20" spans="2:3" ht="13.5">
      <c r="B20" s="5" t="s">
        <v>26</v>
      </c>
      <c r="C20" s="12">
        <f>C17*100/C3</f>
        <v>102.50169491525425</v>
      </c>
    </row>
    <row r="22" spans="2:3" ht="13.5">
      <c r="B22" s="13" t="s">
        <v>27</v>
      </c>
      <c r="C22" s="7">
        <v>1.3</v>
      </c>
    </row>
    <row r="23" spans="2:3" ht="13.5">
      <c r="B23" s="13"/>
      <c r="C23" s="7"/>
    </row>
    <row r="24" spans="2:3" ht="13.5">
      <c r="B24" s="13" t="s">
        <v>28</v>
      </c>
      <c r="C24" s="7">
        <f>C22/2</f>
        <v>0.65</v>
      </c>
    </row>
    <row r="25" spans="2:3" ht="13.5">
      <c r="B25" s="13" t="s">
        <v>29</v>
      </c>
      <c r="C25" s="8">
        <f>C18/SQRT(10)</f>
        <v>0.15539054740305874</v>
      </c>
    </row>
    <row r="26" spans="2:3" ht="13.5">
      <c r="B26" s="13"/>
      <c r="C26" s="8"/>
    </row>
    <row r="27" spans="2:3" ht="13.5">
      <c r="B27" s="13" t="s">
        <v>30</v>
      </c>
      <c r="C27" s="8">
        <f>SQRT(SUMSQ(C24:C25))</f>
        <v>0.6683159598739373</v>
      </c>
    </row>
    <row r="28" spans="2:3" ht="13.5">
      <c r="B28" s="13" t="s">
        <v>31</v>
      </c>
      <c r="C28" s="8">
        <f>C27*2</f>
        <v>1.3366319197478747</v>
      </c>
    </row>
    <row r="29" spans="2:3" ht="13.5">
      <c r="B29" s="13"/>
      <c r="C29" s="7"/>
    </row>
    <row r="30" spans="2:3" ht="13.5">
      <c r="B30" s="13" t="s">
        <v>32</v>
      </c>
      <c r="C30" s="8">
        <f>C17-C3</f>
        <v>0.7379999999999995</v>
      </c>
    </row>
    <row r="31" spans="2:3" ht="13.5">
      <c r="B31" s="13" t="s">
        <v>33</v>
      </c>
      <c r="C31" s="7" t="s">
        <v>34</v>
      </c>
    </row>
    <row r="43" spans="2:3" ht="13.5">
      <c r="B43" s="13" t="s">
        <v>35</v>
      </c>
      <c r="C43" s="7">
        <v>29.5</v>
      </c>
    </row>
    <row r="44" spans="2:3" ht="13.5">
      <c r="B44" s="13" t="s">
        <v>36</v>
      </c>
      <c r="C44" s="8">
        <f>C17</f>
        <v>30.238</v>
      </c>
    </row>
    <row r="45" spans="2:3" ht="13.5">
      <c r="B45" s="13"/>
      <c r="C45" s="7"/>
    </row>
    <row r="46" spans="2:3" ht="13.5">
      <c r="B46" s="13" t="s">
        <v>37</v>
      </c>
      <c r="C46" s="14">
        <f>C44-C43</f>
        <v>0.7379999999999995</v>
      </c>
    </row>
    <row r="47" spans="2:3" ht="13.5">
      <c r="B47" s="13"/>
      <c r="C47" s="7"/>
    </row>
    <row r="48" spans="2:3" ht="13.5">
      <c r="B48" s="13" t="str">
        <f>B24</f>
        <v>u(CRM)</v>
      </c>
      <c r="C48" s="7">
        <f>C24</f>
        <v>0.65</v>
      </c>
    </row>
    <row r="49" spans="2:3" ht="13.5">
      <c r="B49" s="13" t="str">
        <f>B27</f>
        <v>u(T)</v>
      </c>
      <c r="C49" s="8">
        <f>C25</f>
        <v>0.15539054740305874</v>
      </c>
    </row>
    <row r="50" spans="2:3" ht="13.5">
      <c r="B50" s="13" t="s">
        <v>31</v>
      </c>
      <c r="C50" s="14">
        <f>C28</f>
        <v>1.3366319197478747</v>
      </c>
    </row>
    <row r="51" spans="2:3" ht="13.5">
      <c r="B51" s="13" t="s">
        <v>33</v>
      </c>
      <c r="C51" s="7" t="s">
        <v>38</v>
      </c>
    </row>
  </sheetData>
  <sheetProtection/>
  <mergeCells count="1">
    <mergeCell ref="B4:B5"/>
  </mergeCells>
  <printOptions/>
  <pageMargins left="0.7" right="0.7" top="0.75" bottom="0.75" header="0.3" footer="0.3"/>
  <pageSetup orientation="portrait" paperSize="9"/>
  <drawing r:id="rId6"/>
  <legacyDrawing r:id="rId5"/>
  <oleObjects>
    <oleObject progId="Equation.3" shapeId="85822" r:id="rId1"/>
    <oleObject progId="Equation.3" shapeId="85823" r:id="rId2"/>
    <oleObject progId="Equation.3" shapeId="85824" r:id="rId3"/>
    <oleObject progId="Equation.3" shapeId="85825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K70"/>
  <sheetViews>
    <sheetView zoomScalePageLayoutView="0" workbookViewId="0" topLeftCell="A43">
      <selection activeCell="E36" sqref="E36"/>
    </sheetView>
  </sheetViews>
  <sheetFormatPr defaultColWidth="9.140625" defaultRowHeight="12.75"/>
  <cols>
    <col min="1" max="1" width="8.7109375" style="59" customWidth="1"/>
    <col min="2" max="2" width="33.421875" style="59" customWidth="1"/>
    <col min="3" max="3" width="18.57421875" style="59" customWidth="1"/>
    <col min="4" max="4" width="20.8515625" style="59" customWidth="1"/>
    <col min="5" max="5" width="20.57421875" style="59" customWidth="1"/>
    <col min="6" max="6" width="16.8515625" style="59" customWidth="1"/>
    <col min="7" max="16384" width="8.7109375" style="59" customWidth="1"/>
  </cols>
  <sheetData>
    <row r="2" ht="15">
      <c r="B2" s="89" t="s">
        <v>236</v>
      </c>
    </row>
    <row r="4" ht="15">
      <c r="B4" s="120" t="s">
        <v>232</v>
      </c>
    </row>
    <row r="5" ht="15">
      <c r="B5" s="120" t="s">
        <v>233</v>
      </c>
    </row>
    <row r="6" ht="15">
      <c r="B6" s="120" t="s">
        <v>234</v>
      </c>
    </row>
    <row r="7" ht="15">
      <c r="B7" s="120" t="s">
        <v>235</v>
      </c>
    </row>
    <row r="9" spans="2:6" ht="15">
      <c r="B9" s="124" t="s">
        <v>174</v>
      </c>
      <c r="C9" s="126" t="s">
        <v>232</v>
      </c>
      <c r="D9" s="126" t="s">
        <v>233</v>
      </c>
      <c r="E9" s="126" t="s">
        <v>234</v>
      </c>
      <c r="F9" s="126" t="s">
        <v>235</v>
      </c>
    </row>
    <row r="10" spans="2:6" ht="19.5">
      <c r="B10" s="118" t="s">
        <v>252</v>
      </c>
      <c r="C10" s="139" t="s">
        <v>242</v>
      </c>
      <c r="D10" s="139" t="s">
        <v>242</v>
      </c>
      <c r="E10" s="139" t="s">
        <v>243</v>
      </c>
      <c r="F10" s="139" t="s">
        <v>242</v>
      </c>
    </row>
    <row r="11" spans="2:6" ht="19.5">
      <c r="B11" s="118" t="s">
        <v>181</v>
      </c>
      <c r="C11" s="139" t="s">
        <v>243</v>
      </c>
      <c r="D11" s="139" t="s">
        <v>243</v>
      </c>
      <c r="E11" s="139" t="s">
        <v>243</v>
      </c>
      <c r="F11" s="139" t="s">
        <v>242</v>
      </c>
    </row>
    <row r="12" spans="2:6" ht="19.5">
      <c r="B12" s="118" t="s">
        <v>175</v>
      </c>
      <c r="C12" s="139" t="s">
        <v>243</v>
      </c>
      <c r="D12" s="139" t="s">
        <v>243</v>
      </c>
      <c r="E12" s="139" t="s">
        <v>243</v>
      </c>
      <c r="F12" s="139" t="s">
        <v>243</v>
      </c>
    </row>
    <row r="13" spans="2:6" ht="19.5">
      <c r="B13" s="118" t="s">
        <v>229</v>
      </c>
      <c r="C13" s="139" t="s">
        <v>242</v>
      </c>
      <c r="D13" s="139" t="s">
        <v>243</v>
      </c>
      <c r="E13" s="139" t="s">
        <v>243</v>
      </c>
      <c r="F13" s="139" t="s">
        <v>243</v>
      </c>
    </row>
    <row r="14" spans="2:6" ht="19.5">
      <c r="B14" s="118" t="s">
        <v>230</v>
      </c>
      <c r="C14" s="139" t="s">
        <v>242</v>
      </c>
      <c r="D14" s="139" t="s">
        <v>242</v>
      </c>
      <c r="E14" s="139" t="s">
        <v>243</v>
      </c>
      <c r="F14" s="139" t="s">
        <v>242</v>
      </c>
    </row>
    <row r="15" spans="2:6" ht="19.5">
      <c r="B15" s="118" t="s">
        <v>189</v>
      </c>
      <c r="C15" s="139" t="s">
        <v>242</v>
      </c>
      <c r="D15" s="139" t="s">
        <v>242</v>
      </c>
      <c r="E15" s="139" t="s">
        <v>243</v>
      </c>
      <c r="F15" s="139" t="s">
        <v>242</v>
      </c>
    </row>
    <row r="16" spans="2:6" ht="19.5">
      <c r="B16" s="118" t="s">
        <v>244</v>
      </c>
      <c r="C16" s="139" t="s">
        <v>242</v>
      </c>
      <c r="D16" s="139" t="s">
        <v>242</v>
      </c>
      <c r="E16" s="139" t="s">
        <v>243</v>
      </c>
      <c r="F16" s="139" t="s">
        <v>242</v>
      </c>
    </row>
    <row r="17" spans="2:6" ht="19.5">
      <c r="B17" s="118" t="s">
        <v>253</v>
      </c>
      <c r="C17" s="139" t="s">
        <v>242</v>
      </c>
      <c r="D17" s="139" t="s">
        <v>242</v>
      </c>
      <c r="E17" s="139" t="s">
        <v>243</v>
      </c>
      <c r="F17" s="139" t="s">
        <v>242</v>
      </c>
    </row>
    <row r="18" ht="15">
      <c r="B18" s="121"/>
    </row>
    <row r="19" ht="15">
      <c r="B19" s="122" t="s">
        <v>217</v>
      </c>
    </row>
    <row r="20" ht="15">
      <c r="B20" s="120" t="s">
        <v>237</v>
      </c>
    </row>
    <row r="21" ht="15">
      <c r="B21" s="120" t="s">
        <v>238</v>
      </c>
    </row>
    <row r="22" ht="15">
      <c r="B22" s="120" t="s">
        <v>239</v>
      </c>
    </row>
    <row r="23" ht="15">
      <c r="B23" s="120" t="s">
        <v>240</v>
      </c>
    </row>
    <row r="24" ht="15">
      <c r="B24" s="117"/>
    </row>
    <row r="25" spans="2:11" ht="77.25">
      <c r="B25" s="124" t="s">
        <v>174</v>
      </c>
      <c r="C25" s="126" t="s">
        <v>237</v>
      </c>
      <c r="D25" s="126" t="s">
        <v>241</v>
      </c>
      <c r="E25" s="126" t="s">
        <v>282</v>
      </c>
      <c r="F25" s="126" t="s">
        <v>240</v>
      </c>
      <c r="G25" s="127"/>
      <c r="H25" s="127"/>
      <c r="I25" s="127"/>
      <c r="J25" s="127"/>
      <c r="K25" s="127"/>
    </row>
    <row r="26" spans="2:6" ht="19.5">
      <c r="B26" s="118" t="s">
        <v>252</v>
      </c>
      <c r="C26" s="139" t="s">
        <v>242</v>
      </c>
      <c r="D26" s="139" t="s">
        <v>243</v>
      </c>
      <c r="E26" s="139" t="s">
        <v>242</v>
      </c>
      <c r="F26" s="139" t="s">
        <v>242</v>
      </c>
    </row>
    <row r="27" spans="2:6" ht="19.5">
      <c r="B27" s="118" t="s">
        <v>181</v>
      </c>
      <c r="C27" s="139" t="s">
        <v>243</v>
      </c>
      <c r="D27" s="139" t="s">
        <v>243</v>
      </c>
      <c r="E27" s="139" t="s">
        <v>243</v>
      </c>
      <c r="F27" s="139" t="s">
        <v>242</v>
      </c>
    </row>
    <row r="28" spans="2:6" ht="19.5">
      <c r="B28" s="118" t="s">
        <v>175</v>
      </c>
      <c r="C28" s="139" t="s">
        <v>243</v>
      </c>
      <c r="D28" s="139" t="s">
        <v>243</v>
      </c>
      <c r="E28" s="139" t="s">
        <v>243</v>
      </c>
      <c r="F28" s="139" t="s">
        <v>243</v>
      </c>
    </row>
    <row r="29" spans="2:6" ht="19.5">
      <c r="B29" s="118" t="s">
        <v>229</v>
      </c>
      <c r="C29" s="139" t="s">
        <v>243</v>
      </c>
      <c r="D29" s="139" t="s">
        <v>243</v>
      </c>
      <c r="E29" s="139" t="s">
        <v>243</v>
      </c>
      <c r="F29" s="139" t="s">
        <v>243</v>
      </c>
    </row>
    <row r="30" spans="2:6" ht="19.5">
      <c r="B30" s="118" t="s">
        <v>250</v>
      </c>
      <c r="C30" s="139" t="s">
        <v>243</v>
      </c>
      <c r="D30" s="139" t="s">
        <v>243</v>
      </c>
      <c r="E30" s="139" t="s">
        <v>242</v>
      </c>
      <c r="F30" s="139" t="s">
        <v>242</v>
      </c>
    </row>
    <row r="31" spans="2:6" ht="19.5">
      <c r="B31" s="118" t="s">
        <v>251</v>
      </c>
      <c r="C31" s="139" t="s">
        <v>243</v>
      </c>
      <c r="D31" s="139" t="s">
        <v>243</v>
      </c>
      <c r="E31" s="139" t="s">
        <v>242</v>
      </c>
      <c r="F31" s="139" t="s">
        <v>242</v>
      </c>
    </row>
    <row r="32" spans="2:6" ht="19.5">
      <c r="B32" s="118" t="s">
        <v>244</v>
      </c>
      <c r="C32" s="139" t="s">
        <v>242</v>
      </c>
      <c r="D32" s="139" t="s">
        <v>243</v>
      </c>
      <c r="E32" s="139" t="s">
        <v>242</v>
      </c>
      <c r="F32" s="139" t="s">
        <v>242</v>
      </c>
    </row>
    <row r="33" spans="2:6" ht="19.5">
      <c r="B33" s="118" t="s">
        <v>231</v>
      </c>
      <c r="C33" s="139" t="s">
        <v>243</v>
      </c>
      <c r="D33" s="139" t="s">
        <v>243</v>
      </c>
      <c r="E33" s="139" t="s">
        <v>243</v>
      </c>
      <c r="F33" s="139" t="s">
        <v>242</v>
      </c>
    </row>
    <row r="36" ht="15">
      <c r="B36" s="117" t="s">
        <v>218</v>
      </c>
    </row>
    <row r="37" ht="15">
      <c r="B37" s="59" t="s">
        <v>219</v>
      </c>
    </row>
    <row r="38" ht="15">
      <c r="B38" s="59" t="s">
        <v>220</v>
      </c>
    </row>
    <row r="40" ht="15">
      <c r="B40" s="117" t="s">
        <v>226</v>
      </c>
    </row>
    <row r="41" ht="15">
      <c r="B41" s="59" t="s">
        <v>224</v>
      </c>
    </row>
    <row r="42" ht="15">
      <c r="B42" s="59" t="s">
        <v>221</v>
      </c>
    </row>
    <row r="43" ht="15">
      <c r="B43" s="59" t="s">
        <v>222</v>
      </c>
    </row>
    <row r="44" ht="15">
      <c r="B44" s="59" t="s">
        <v>223</v>
      </c>
    </row>
    <row r="45" ht="15">
      <c r="B45" s="117"/>
    </row>
    <row r="46" spans="2:6" ht="46.5">
      <c r="B46" s="124" t="s">
        <v>174</v>
      </c>
      <c r="C46" s="125" t="s">
        <v>224</v>
      </c>
      <c r="D46" s="125" t="s">
        <v>221</v>
      </c>
      <c r="E46" s="125" t="s">
        <v>222</v>
      </c>
      <c r="F46" s="125" t="s">
        <v>223</v>
      </c>
    </row>
    <row r="47" spans="2:6" ht="18">
      <c r="B47" s="118" t="s">
        <v>252</v>
      </c>
      <c r="C47" s="140" t="s">
        <v>243</v>
      </c>
      <c r="D47" s="140" t="s">
        <v>243</v>
      </c>
      <c r="E47" s="140" t="s">
        <v>243</v>
      </c>
      <c r="F47" s="140" t="s">
        <v>243</v>
      </c>
    </row>
    <row r="48" spans="2:6" ht="18">
      <c r="B48" s="118" t="s">
        <v>181</v>
      </c>
      <c r="C48" s="140" t="s">
        <v>242</v>
      </c>
      <c r="D48" s="140" t="s">
        <v>242</v>
      </c>
      <c r="E48" s="140" t="s">
        <v>243</v>
      </c>
      <c r="F48" s="140" t="s">
        <v>243</v>
      </c>
    </row>
    <row r="49" spans="2:6" ht="18">
      <c r="B49" s="118" t="s">
        <v>175</v>
      </c>
      <c r="C49" s="140" t="s">
        <v>242</v>
      </c>
      <c r="D49" s="140" t="s">
        <v>242</v>
      </c>
      <c r="E49" s="140" t="s">
        <v>243</v>
      </c>
      <c r="F49" s="140" t="s">
        <v>243</v>
      </c>
    </row>
    <row r="50" spans="2:6" ht="18">
      <c r="B50" s="118" t="s">
        <v>229</v>
      </c>
      <c r="C50" s="140" t="s">
        <v>242</v>
      </c>
      <c r="D50" s="140" t="s">
        <v>242</v>
      </c>
      <c r="E50" s="140" t="s">
        <v>243</v>
      </c>
      <c r="F50" s="140" t="s">
        <v>243</v>
      </c>
    </row>
    <row r="51" spans="2:6" ht="18">
      <c r="B51" s="118" t="s">
        <v>230</v>
      </c>
      <c r="C51" s="140" t="s">
        <v>242</v>
      </c>
      <c r="D51" s="140" t="s">
        <v>243</v>
      </c>
      <c r="E51" s="140" t="s">
        <v>242</v>
      </c>
      <c r="F51" s="140" t="s">
        <v>242</v>
      </c>
    </row>
    <row r="52" spans="2:6" ht="18">
      <c r="B52" s="118" t="s">
        <v>189</v>
      </c>
      <c r="C52" s="140" t="s">
        <v>242</v>
      </c>
      <c r="D52" s="140" t="s">
        <v>242</v>
      </c>
      <c r="E52" s="140" t="s">
        <v>243</v>
      </c>
      <c r="F52" s="140" t="s">
        <v>242</v>
      </c>
    </row>
    <row r="53" spans="2:6" ht="18">
      <c r="B53" s="118" t="s">
        <v>244</v>
      </c>
      <c r="C53" s="140" t="s">
        <v>242</v>
      </c>
      <c r="D53" s="140" t="s">
        <v>242</v>
      </c>
      <c r="E53" s="140" t="s">
        <v>243</v>
      </c>
      <c r="F53" s="140" t="s">
        <v>243</v>
      </c>
    </row>
    <row r="54" spans="2:6" ht="18">
      <c r="B54" s="118" t="s">
        <v>231</v>
      </c>
      <c r="C54" s="140" t="s">
        <v>242</v>
      </c>
      <c r="D54" s="140" t="s">
        <v>242</v>
      </c>
      <c r="E54" s="140" t="s">
        <v>243</v>
      </c>
      <c r="F54" s="140" t="s">
        <v>243</v>
      </c>
    </row>
    <row r="56" ht="15">
      <c r="B56" s="117" t="s">
        <v>227</v>
      </c>
    </row>
    <row r="57" ht="15">
      <c r="B57" s="59" t="s">
        <v>225</v>
      </c>
    </row>
    <row r="58" ht="15">
      <c r="B58" s="59" t="s">
        <v>228</v>
      </c>
    </row>
    <row r="60" spans="2:6" ht="15">
      <c r="B60" s="123"/>
      <c r="C60" s="142" t="s">
        <v>245</v>
      </c>
      <c r="D60" s="142"/>
      <c r="E60" s="142" t="s">
        <v>246</v>
      </c>
      <c r="F60" s="142"/>
    </row>
    <row r="61" spans="2:6" s="119" customFormat="1" ht="30.75">
      <c r="B61" s="124" t="s">
        <v>174</v>
      </c>
      <c r="C61" s="125" t="s">
        <v>255</v>
      </c>
      <c r="D61" s="125" t="s">
        <v>256</v>
      </c>
      <c r="E61" s="125" t="s">
        <v>254</v>
      </c>
      <c r="F61" s="125" t="s">
        <v>257</v>
      </c>
    </row>
    <row r="62" spans="2:6" ht="15">
      <c r="B62" s="118" t="s">
        <v>252</v>
      </c>
      <c r="C62" s="41" t="s">
        <v>243</v>
      </c>
      <c r="D62" s="41" t="s">
        <v>243</v>
      </c>
      <c r="E62" s="41" t="s">
        <v>243</v>
      </c>
      <c r="F62" s="41" t="s">
        <v>243</v>
      </c>
    </row>
    <row r="63" spans="2:6" ht="15">
      <c r="B63" s="118" t="s">
        <v>181</v>
      </c>
      <c r="C63" s="41" t="s">
        <v>242</v>
      </c>
      <c r="D63" s="41" t="s">
        <v>242</v>
      </c>
      <c r="E63" s="41" t="s">
        <v>242</v>
      </c>
      <c r="F63" s="41" t="s">
        <v>243</v>
      </c>
    </row>
    <row r="64" spans="2:6" ht="15">
      <c r="B64" s="118" t="s">
        <v>175</v>
      </c>
      <c r="C64" s="41" t="s">
        <v>242</v>
      </c>
      <c r="D64" s="41" t="s">
        <v>242</v>
      </c>
      <c r="E64" s="41" t="s">
        <v>243</v>
      </c>
      <c r="F64" s="41" t="s">
        <v>243</v>
      </c>
    </row>
    <row r="65" spans="2:6" ht="15">
      <c r="B65" s="118" t="s">
        <v>229</v>
      </c>
      <c r="C65" s="41" t="s">
        <v>242</v>
      </c>
      <c r="D65" s="41" t="s">
        <v>242</v>
      </c>
      <c r="E65" s="41" t="s">
        <v>243</v>
      </c>
      <c r="F65" s="41" t="s">
        <v>243</v>
      </c>
    </row>
    <row r="66" spans="2:6" ht="15">
      <c r="B66" s="118" t="s">
        <v>247</v>
      </c>
      <c r="C66" s="41" t="s">
        <v>243</v>
      </c>
      <c r="D66" s="41" t="s">
        <v>243</v>
      </c>
      <c r="E66" s="41" t="s">
        <v>243</v>
      </c>
      <c r="F66" s="41" t="s">
        <v>243</v>
      </c>
    </row>
    <row r="67" spans="2:6" ht="15">
      <c r="B67" s="118" t="s">
        <v>248</v>
      </c>
      <c r="C67" s="41" t="s">
        <v>242</v>
      </c>
      <c r="D67" s="41" t="s">
        <v>243</v>
      </c>
      <c r="E67" s="41" t="s">
        <v>242</v>
      </c>
      <c r="F67" s="41" t="s">
        <v>243</v>
      </c>
    </row>
    <row r="68" spans="2:6" ht="15">
      <c r="B68" s="118" t="s">
        <v>244</v>
      </c>
      <c r="C68" s="41" t="s">
        <v>242</v>
      </c>
      <c r="D68" s="41" t="s">
        <v>242</v>
      </c>
      <c r="E68" s="41" t="s">
        <v>242</v>
      </c>
      <c r="F68" s="41" t="s">
        <v>243</v>
      </c>
    </row>
    <row r="69" spans="2:6" ht="15">
      <c r="B69" s="118" t="s">
        <v>231</v>
      </c>
      <c r="C69" s="41" t="s">
        <v>242</v>
      </c>
      <c r="D69" s="41" t="s">
        <v>242</v>
      </c>
      <c r="E69" s="41" t="s">
        <v>242</v>
      </c>
      <c r="F69" s="41" t="s">
        <v>243</v>
      </c>
    </row>
    <row r="70" spans="2:6" ht="15">
      <c r="B70" s="118" t="s">
        <v>249</v>
      </c>
      <c r="C70" s="41" t="s">
        <v>242</v>
      </c>
      <c r="D70" s="41" t="s">
        <v>242</v>
      </c>
      <c r="E70" s="41" t="s">
        <v>243</v>
      </c>
      <c r="F70" s="41" t="s">
        <v>243</v>
      </c>
    </row>
  </sheetData>
  <sheetProtection/>
  <mergeCells count="2">
    <mergeCell ref="C60:D60"/>
    <mergeCell ref="E60:F6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62"/>
  <sheetViews>
    <sheetView zoomScale="130" zoomScaleNormal="130" zoomScalePageLayoutView="0" workbookViewId="0" topLeftCell="A52">
      <selection activeCell="C49" sqref="C49"/>
    </sheetView>
  </sheetViews>
  <sheetFormatPr defaultColWidth="9.140625" defaultRowHeight="12.75"/>
  <cols>
    <col min="1" max="1" width="12.421875" style="65" customWidth="1"/>
    <col min="2" max="2" width="24.8515625" style="67" customWidth="1"/>
    <col min="3" max="3" width="12.28125" style="67" customWidth="1"/>
    <col min="4" max="4" width="13.57421875" style="67" customWidth="1"/>
    <col min="5" max="16384" width="8.7109375" style="65" customWidth="1"/>
  </cols>
  <sheetData>
    <row r="2" ht="15">
      <c r="B2" s="90" t="s">
        <v>122</v>
      </c>
    </row>
    <row r="3" ht="15">
      <c r="B3" s="66"/>
    </row>
    <row r="4" ht="15">
      <c r="B4" s="90" t="s">
        <v>123</v>
      </c>
    </row>
    <row r="5" s="58" customFormat="1" ht="15">
      <c r="B5" s="89" t="s">
        <v>124</v>
      </c>
    </row>
    <row r="6" spans="2:4" ht="12">
      <c r="B6" s="68" t="s">
        <v>39</v>
      </c>
      <c r="C6" s="68" t="s">
        <v>86</v>
      </c>
      <c r="D6" s="68" t="s">
        <v>87</v>
      </c>
    </row>
    <row r="7" spans="2:4" ht="12">
      <c r="B7" s="68">
        <v>1</v>
      </c>
      <c r="C7" s="69">
        <v>119.44</v>
      </c>
      <c r="D7" s="69">
        <v>119.68</v>
      </c>
    </row>
    <row r="8" spans="2:4" ht="12">
      <c r="B8" s="68">
        <v>2</v>
      </c>
      <c r="C8" s="69">
        <v>119.2</v>
      </c>
      <c r="D8" s="69">
        <v>119.84</v>
      </c>
    </row>
    <row r="9" spans="2:4" ht="12">
      <c r="B9" s="68">
        <v>3</v>
      </c>
      <c r="C9" s="69">
        <v>119.92</v>
      </c>
      <c r="D9" s="69">
        <v>119.12</v>
      </c>
    </row>
    <row r="10" spans="2:4" ht="12">
      <c r="B10" s="68">
        <v>4</v>
      </c>
      <c r="C10" s="69">
        <v>118.56</v>
      </c>
      <c r="D10" s="69">
        <v>120</v>
      </c>
    </row>
    <row r="11" spans="2:4" ht="12">
      <c r="B11" s="68">
        <v>5</v>
      </c>
      <c r="C11" s="69">
        <v>119.44</v>
      </c>
      <c r="D11" s="69">
        <v>119.36</v>
      </c>
    </row>
    <row r="12" spans="2:4" ht="12">
      <c r="B12" s="68">
        <v>6</v>
      </c>
      <c r="C12" s="69">
        <v>119.28</v>
      </c>
      <c r="D12" s="69">
        <v>118.56</v>
      </c>
    </row>
    <row r="13" spans="2:4" ht="12">
      <c r="B13" s="68">
        <v>7</v>
      </c>
      <c r="C13" s="69">
        <v>118.88</v>
      </c>
      <c r="D13" s="69">
        <v>119.2</v>
      </c>
    </row>
    <row r="14" spans="2:4" ht="12">
      <c r="B14" s="68">
        <v>8</v>
      </c>
      <c r="C14" s="69">
        <v>119.36</v>
      </c>
      <c r="D14" s="69">
        <v>119.44</v>
      </c>
    </row>
    <row r="15" spans="2:4" ht="12">
      <c r="B15" s="68">
        <v>9</v>
      </c>
      <c r="C15" s="69">
        <v>118.56</v>
      </c>
      <c r="D15" s="69">
        <v>119.2</v>
      </c>
    </row>
    <row r="16" spans="2:4" ht="12">
      <c r="B16" s="68">
        <v>10</v>
      </c>
      <c r="C16" s="69">
        <v>118</v>
      </c>
      <c r="D16" s="69">
        <v>117.44</v>
      </c>
    </row>
    <row r="17" spans="2:4" ht="12">
      <c r="B17" s="68"/>
      <c r="C17" s="68"/>
      <c r="D17" s="70"/>
    </row>
    <row r="18" spans="2:4" ht="12">
      <c r="B18" s="68" t="s">
        <v>0</v>
      </c>
      <c r="C18" s="70">
        <f>AVERAGE(C7:C17)</f>
        <v>119.064</v>
      </c>
      <c r="D18" s="70">
        <f>AVERAGE(D7:D17)</f>
        <v>119.18400000000001</v>
      </c>
    </row>
    <row r="19" spans="2:4" ht="12">
      <c r="B19" s="68" t="s">
        <v>1</v>
      </c>
      <c r="C19" s="71">
        <f>STDEVA(C7:C16)</f>
        <v>0.5619648071226918</v>
      </c>
      <c r="D19" s="71">
        <f>STDEVA(D7:D16)</f>
        <v>0.7359227012548423</v>
      </c>
    </row>
    <row r="20" spans="2:4" ht="12">
      <c r="B20" s="68" t="s">
        <v>2</v>
      </c>
      <c r="C20" s="39">
        <f>C19*100/C18</f>
        <v>0.4719854927792547</v>
      </c>
      <c r="D20" s="39">
        <f>D19*100/D18</f>
        <v>0.6174676980591709</v>
      </c>
    </row>
    <row r="21" spans="2:4" ht="12">
      <c r="B21" s="18"/>
      <c r="C21" s="63"/>
      <c r="D21" s="63"/>
    </row>
    <row r="22" s="58" customFormat="1" ht="15">
      <c r="B22" s="89" t="s">
        <v>125</v>
      </c>
    </row>
    <row r="23" spans="2:5" ht="12">
      <c r="B23" s="18"/>
      <c r="C23" s="63"/>
      <c r="D23" s="63"/>
      <c r="E23" s="64"/>
    </row>
    <row r="24" spans="2:5" ht="12">
      <c r="B24" s="19" t="s">
        <v>3</v>
      </c>
      <c r="C24" s="91">
        <f>D19^2/C19^2</f>
        <v>1.714929070029279</v>
      </c>
      <c r="D24" s="67" t="s">
        <v>79</v>
      </c>
      <c r="E24" s="64"/>
    </row>
    <row r="25" spans="2:5" ht="12">
      <c r="B25" s="19" t="s">
        <v>78</v>
      </c>
      <c r="C25" s="91">
        <f>FINV(0.05,9,9)</f>
        <v>3.17889310445827</v>
      </c>
      <c r="D25" s="67" t="s">
        <v>3</v>
      </c>
      <c r="E25" s="64"/>
    </row>
    <row r="26" spans="2:5" ht="12">
      <c r="B26" s="18"/>
      <c r="C26" s="63"/>
      <c r="D26" s="63"/>
      <c r="E26" s="64"/>
    </row>
    <row r="27" spans="2:5" ht="15">
      <c r="B27" s="89" t="s">
        <v>126</v>
      </c>
      <c r="C27" s="63"/>
      <c r="D27" s="63"/>
      <c r="E27" s="64"/>
    </row>
    <row r="28" spans="2:4" ht="12">
      <c r="B28" s="65" t="s">
        <v>19</v>
      </c>
      <c r="C28" s="65"/>
      <c r="D28" s="65"/>
    </row>
    <row r="29" spans="2:4" ht="12.75" thickBot="1">
      <c r="B29" s="65"/>
      <c r="C29" s="65"/>
      <c r="D29" s="65"/>
    </row>
    <row r="30" spans="2:4" ht="12.75">
      <c r="B30" s="32"/>
      <c r="C30" s="32" t="s">
        <v>6</v>
      </c>
      <c r="D30" s="32" t="s">
        <v>7</v>
      </c>
    </row>
    <row r="31" spans="2:4" ht="12">
      <c r="B31" s="30" t="s">
        <v>8</v>
      </c>
      <c r="C31" s="30">
        <v>119.064</v>
      </c>
      <c r="D31" s="30">
        <v>119.18400000000001</v>
      </c>
    </row>
    <row r="32" spans="2:4" ht="12">
      <c r="B32" s="30" t="s">
        <v>4</v>
      </c>
      <c r="C32" s="30">
        <v>0.31580444444444417</v>
      </c>
      <c r="D32" s="30">
        <v>0.5415822222222239</v>
      </c>
    </row>
    <row r="33" spans="2:4" ht="12">
      <c r="B33" s="30" t="s">
        <v>9</v>
      </c>
      <c r="C33" s="30">
        <v>10</v>
      </c>
      <c r="D33" s="30">
        <v>10</v>
      </c>
    </row>
    <row r="34" spans="2:5" ht="12">
      <c r="B34" s="80" t="s">
        <v>20</v>
      </c>
      <c r="C34" s="30">
        <v>0.42869333333333404</v>
      </c>
      <c r="D34" s="68" t="s">
        <v>1</v>
      </c>
      <c r="E34" s="81">
        <f>SQRT(C34)</f>
        <v>0.6547467703878608</v>
      </c>
    </row>
    <row r="35" spans="2:5" ht="12">
      <c r="B35" s="30" t="s">
        <v>10</v>
      </c>
      <c r="C35" s="30">
        <v>0</v>
      </c>
      <c r="D35" s="68" t="s">
        <v>2</v>
      </c>
      <c r="E35" s="82">
        <f>E34*100/D31</f>
        <v>0.5493579426666841</v>
      </c>
    </row>
    <row r="36" spans="2:4" ht="12">
      <c r="B36" s="30" t="s">
        <v>5</v>
      </c>
      <c r="C36" s="30">
        <v>18</v>
      </c>
      <c r="D36" s="30"/>
    </row>
    <row r="37" spans="2:4" ht="12">
      <c r="B37" s="30" t="s">
        <v>11</v>
      </c>
      <c r="C37" s="135">
        <v>-0.4098197493071462</v>
      </c>
      <c r="D37" s="33" t="s">
        <v>80</v>
      </c>
    </row>
    <row r="38" spans="2:4" ht="12">
      <c r="B38" s="30" t="s">
        <v>12</v>
      </c>
      <c r="C38" s="30">
        <v>0.3433871546250763</v>
      </c>
      <c r="D38" s="33"/>
    </row>
    <row r="39" spans="2:4" ht="12">
      <c r="B39" s="30" t="s">
        <v>13</v>
      </c>
      <c r="C39" s="30">
        <v>1.7340636066175394</v>
      </c>
      <c r="D39" s="30"/>
    </row>
    <row r="40" spans="2:4" ht="12.75">
      <c r="B40" s="30" t="s">
        <v>14</v>
      </c>
      <c r="C40" s="30">
        <v>0.6867743092501526</v>
      </c>
      <c r="D40" s="30"/>
    </row>
    <row r="41" spans="2:4" ht="13.5" thickBot="1">
      <c r="B41" s="31" t="s">
        <v>15</v>
      </c>
      <c r="C41" s="136">
        <v>2.100922040241038</v>
      </c>
      <c r="D41" s="31"/>
    </row>
    <row r="42" ht="12.75">
      <c r="H42" s="73"/>
    </row>
    <row r="43" s="58" customFormat="1" ht="15">
      <c r="B43" s="89" t="s">
        <v>127</v>
      </c>
    </row>
    <row r="44" s="58" customFormat="1" ht="15">
      <c r="B44" s="59"/>
    </row>
    <row r="45" spans="2:3" s="58" customFormat="1" ht="15">
      <c r="B45" s="59" t="s">
        <v>2</v>
      </c>
      <c r="C45" s="83">
        <f>E35</f>
        <v>0.5493579426666841</v>
      </c>
    </row>
    <row r="46" s="58" customFormat="1" ht="18" customHeight="1">
      <c r="B46" s="89" t="s">
        <v>128</v>
      </c>
    </row>
    <row r="47" s="58" customFormat="1" ht="15">
      <c r="B47" s="89" t="s">
        <v>129</v>
      </c>
    </row>
    <row r="48" spans="2:3" ht="12.75">
      <c r="B48" s="67" t="s">
        <v>91</v>
      </c>
      <c r="C48" s="72">
        <f>AVERAGE(C20:D20)</f>
        <v>0.5447265954192129</v>
      </c>
    </row>
    <row r="49" spans="2:3" ht="12.75">
      <c r="B49" s="67" t="s">
        <v>92</v>
      </c>
      <c r="C49" s="74">
        <f>E35</f>
        <v>0.5493579426666841</v>
      </c>
    </row>
    <row r="50" spans="2:3" ht="12.75">
      <c r="B50" s="67" t="s">
        <v>93</v>
      </c>
      <c r="C50" s="67">
        <v>1.2</v>
      </c>
    </row>
    <row r="51" spans="2:3" ht="12.75">
      <c r="B51" s="67" t="s">
        <v>94</v>
      </c>
      <c r="C51" s="67">
        <v>0.8</v>
      </c>
    </row>
    <row r="52" ht="15">
      <c r="B52" s="89" t="s">
        <v>130</v>
      </c>
    </row>
    <row r="53" ht="12.75"/>
    <row r="54" spans="2:3" ht="12.75">
      <c r="B54" s="86" t="s">
        <v>149</v>
      </c>
      <c r="C54" s="87">
        <f>0.02*D31^0.85</f>
        <v>1.1636309367556197</v>
      </c>
    </row>
    <row r="55" spans="2:3" ht="12.75">
      <c r="B55" s="86" t="s">
        <v>150</v>
      </c>
      <c r="C55" s="87">
        <f>C54*100/C31</f>
        <v>0.977315508260784</v>
      </c>
    </row>
    <row r="56" spans="2:7" ht="12.75">
      <c r="B56" s="84"/>
      <c r="C56" s="84"/>
      <c r="E56"/>
      <c r="F56"/>
      <c r="G56"/>
    </row>
    <row r="57" spans="2:7" ht="12.75">
      <c r="B57" s="84" t="s">
        <v>147</v>
      </c>
      <c r="C57" s="85">
        <f>C49/C55</f>
        <v>0.5621091019463237</v>
      </c>
      <c r="D57" s="67" t="s">
        <v>148</v>
      </c>
      <c r="E57" t="s">
        <v>152</v>
      </c>
      <c r="F57"/>
      <c r="G57"/>
    </row>
    <row r="58" ht="12.75">
      <c r="C58" s="67" t="s">
        <v>34</v>
      </c>
    </row>
    <row r="59" ht="12.75"/>
    <row r="60" ht="15">
      <c r="B60" s="89" t="s">
        <v>136</v>
      </c>
    </row>
    <row r="61" ht="12.75"/>
    <row r="62" ht="12.75">
      <c r="B62" s="88" t="s">
        <v>153</v>
      </c>
    </row>
    <row r="63" ht="12.75"/>
    <row r="64" ht="12.75"/>
    <row r="65" ht="12.75"/>
    <row r="66" ht="12.75"/>
  </sheetData>
  <sheetProtection/>
  <printOptions/>
  <pageMargins left="0.7" right="0.7" top="0.75" bottom="0.75" header="0.3" footer="0.3"/>
  <pageSetup horizontalDpi="600" verticalDpi="600" orientation="portrait" paperSize="9" r:id="rId6"/>
  <drawing r:id="rId5"/>
  <legacyDrawing r:id="rId4"/>
  <oleObjects>
    <oleObject progId="Equation.3" shapeId="203668828" r:id="rId1"/>
    <oleObject progId="Equation.3" shapeId="203706051" r:id="rId2"/>
    <oleObject progId="Equation.3" shapeId="203706872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3:M95"/>
  <sheetViews>
    <sheetView zoomScale="130" zoomScaleNormal="130" zoomScalePageLayoutView="0" workbookViewId="0" topLeftCell="B33">
      <selection activeCell="G39" sqref="G39:H43"/>
    </sheetView>
  </sheetViews>
  <sheetFormatPr defaultColWidth="9.140625" defaultRowHeight="12.75"/>
  <cols>
    <col min="2" max="2" width="19.421875" style="0" customWidth="1"/>
    <col min="11" max="11" width="10.140625" style="0" customWidth="1"/>
    <col min="12" max="12" width="17.140625" style="0" customWidth="1"/>
  </cols>
  <sheetData>
    <row r="3" spans="2:3" ht="12">
      <c r="B3" s="102" t="s">
        <v>194</v>
      </c>
      <c r="C3" s="102"/>
    </row>
    <row r="4" spans="2:4" ht="12">
      <c r="B4" s="103" t="s">
        <v>172</v>
      </c>
      <c r="C4" s="103"/>
      <c r="D4" s="103"/>
    </row>
    <row r="5" spans="2:8" ht="12.75">
      <c r="B5" s="24" t="s">
        <v>173</v>
      </c>
      <c r="H5" s="92" t="s">
        <v>183</v>
      </c>
    </row>
    <row r="8" ht="12">
      <c r="B8" s="24" t="s">
        <v>174</v>
      </c>
    </row>
    <row r="9" ht="12">
      <c r="B9" s="104" t="s">
        <v>175</v>
      </c>
    </row>
    <row r="10" ht="12">
      <c r="B10" s="104" t="s">
        <v>181</v>
      </c>
    </row>
    <row r="11" ht="12">
      <c r="B11" s="104" t="s">
        <v>189</v>
      </c>
    </row>
    <row r="12" ht="12">
      <c r="B12" s="24"/>
    </row>
    <row r="14" spans="2:12" ht="12">
      <c r="B14" s="102" t="s">
        <v>175</v>
      </c>
      <c r="F14" s="102" t="s">
        <v>181</v>
      </c>
      <c r="K14" s="143" t="s">
        <v>191</v>
      </c>
      <c r="L14" s="143"/>
    </row>
    <row r="15" spans="2:12" ht="12">
      <c r="B15" s="102" t="s">
        <v>191</v>
      </c>
      <c r="F15" s="108" t="s">
        <v>182</v>
      </c>
      <c r="G15" s="108" t="s">
        <v>184</v>
      </c>
      <c r="K15" s="143" t="s">
        <v>189</v>
      </c>
      <c r="L15" s="143"/>
    </row>
    <row r="16" spans="2:12" ht="12">
      <c r="B16" s="68" t="s">
        <v>39</v>
      </c>
      <c r="C16" s="68" t="s">
        <v>86</v>
      </c>
      <c r="F16" s="68" t="s">
        <v>39</v>
      </c>
      <c r="G16" s="68" t="s">
        <v>86</v>
      </c>
      <c r="K16" s="68" t="s">
        <v>39</v>
      </c>
      <c r="L16" s="99" t="s">
        <v>190</v>
      </c>
    </row>
    <row r="17" spans="2:12" ht="12">
      <c r="B17" s="68">
        <v>1</v>
      </c>
      <c r="C17" s="70">
        <v>14.93</v>
      </c>
      <c r="F17" s="68">
        <v>1</v>
      </c>
      <c r="G17" s="70">
        <v>14.93</v>
      </c>
      <c r="K17" s="68">
        <v>1</v>
      </c>
      <c r="L17" s="52">
        <f aca="true" t="shared" si="0" ref="L17:L25">C18/15</f>
        <v>0.8073333333333333</v>
      </c>
    </row>
    <row r="18" spans="2:12" ht="12">
      <c r="B18" s="68">
        <v>2</v>
      </c>
      <c r="C18" s="70">
        <v>12.11</v>
      </c>
      <c r="F18" s="68">
        <v>2</v>
      </c>
      <c r="G18" s="70">
        <v>12.11</v>
      </c>
      <c r="K18" s="68">
        <v>2</v>
      </c>
      <c r="L18" s="52">
        <f t="shared" si="0"/>
        <v>0.9993333333333333</v>
      </c>
    </row>
    <row r="19" spans="2:12" ht="12">
      <c r="B19" s="68">
        <v>3</v>
      </c>
      <c r="C19" s="70">
        <v>14.99</v>
      </c>
      <c r="F19" s="68">
        <v>3</v>
      </c>
      <c r="G19" s="70">
        <v>14.99</v>
      </c>
      <c r="K19" s="68">
        <v>3</v>
      </c>
      <c r="L19" s="52">
        <f t="shared" si="0"/>
        <v>0.988</v>
      </c>
    </row>
    <row r="20" spans="2:12" ht="12">
      <c r="B20" s="68">
        <v>4</v>
      </c>
      <c r="C20" s="70">
        <v>14.82</v>
      </c>
      <c r="F20" s="68">
        <v>4</v>
      </c>
      <c r="G20" s="70">
        <v>13.4</v>
      </c>
      <c r="K20" s="68">
        <v>4</v>
      </c>
      <c r="L20" s="52">
        <f t="shared" si="0"/>
        <v>1.0266666666666666</v>
      </c>
    </row>
    <row r="21" spans="2:12" ht="12">
      <c r="B21" s="68">
        <v>5</v>
      </c>
      <c r="C21" s="70">
        <v>15.4</v>
      </c>
      <c r="F21" s="68">
        <v>5</v>
      </c>
      <c r="G21" s="70">
        <v>15.4</v>
      </c>
      <c r="K21" s="68">
        <v>5</v>
      </c>
      <c r="L21" s="52">
        <f t="shared" si="0"/>
        <v>0.994</v>
      </c>
    </row>
    <row r="22" spans="2:12" ht="12">
      <c r="B22" s="68">
        <v>6</v>
      </c>
      <c r="C22" s="70">
        <v>14.91</v>
      </c>
      <c r="F22" s="68"/>
      <c r="G22" s="68"/>
      <c r="K22" s="68">
        <v>6</v>
      </c>
      <c r="L22" s="52">
        <f t="shared" si="0"/>
        <v>0.9906666666666666</v>
      </c>
    </row>
    <row r="23" spans="2:12" ht="12">
      <c r="B23" s="68">
        <v>7</v>
      </c>
      <c r="C23" s="70">
        <v>14.86</v>
      </c>
      <c r="F23" s="68" t="s">
        <v>0</v>
      </c>
      <c r="G23" s="69">
        <f>AVERAGE(G17:G22)</f>
        <v>14.166</v>
      </c>
      <c r="K23" s="68">
        <v>7</v>
      </c>
      <c r="L23" s="52">
        <f t="shared" si="0"/>
        <v>1.0866666666666667</v>
      </c>
    </row>
    <row r="24" spans="2:12" ht="12">
      <c r="B24" s="68">
        <v>8</v>
      </c>
      <c r="C24" s="70">
        <v>16.3</v>
      </c>
      <c r="F24" s="68" t="s">
        <v>1</v>
      </c>
      <c r="G24" s="69">
        <f>STDEVA(G17:G21)</f>
        <v>1.378343208348342</v>
      </c>
      <c r="K24" s="68">
        <v>8</v>
      </c>
      <c r="L24" s="52">
        <f t="shared" si="0"/>
        <v>0.988</v>
      </c>
    </row>
    <row r="25" spans="2:12" ht="12">
      <c r="B25" s="68">
        <v>9</v>
      </c>
      <c r="C25" s="70">
        <v>14.82</v>
      </c>
      <c r="F25" s="68" t="s">
        <v>2</v>
      </c>
      <c r="G25" s="93">
        <f>G24*100/G23</f>
        <v>9.72993935019301</v>
      </c>
      <c r="K25" s="68">
        <v>9</v>
      </c>
      <c r="L25" s="52">
        <f t="shared" si="0"/>
        <v>0.92</v>
      </c>
    </row>
    <row r="26" spans="2:12" ht="12">
      <c r="B26" s="68">
        <v>10</v>
      </c>
      <c r="C26" s="70">
        <v>13.8</v>
      </c>
      <c r="F26" s="18"/>
      <c r="G26" s="111"/>
      <c r="K26" s="68">
        <v>10</v>
      </c>
      <c r="L26" s="52">
        <f>C23/15</f>
        <v>0.9906666666666666</v>
      </c>
    </row>
    <row r="27" spans="2:7" ht="12">
      <c r="B27" s="68"/>
      <c r="C27" s="68"/>
      <c r="F27" s="18"/>
      <c r="G27" s="111"/>
    </row>
    <row r="28" spans="2:12" ht="12">
      <c r="B28" s="68" t="s">
        <v>0</v>
      </c>
      <c r="C28" s="70">
        <f>AVERAGE(C17:C27)</f>
        <v>14.693999999999999</v>
      </c>
      <c r="F28" s="102" t="s">
        <v>179</v>
      </c>
      <c r="G28" s="102"/>
      <c r="H28" s="102"/>
      <c r="K28" s="97" t="s">
        <v>1</v>
      </c>
      <c r="L28" s="100">
        <f>STDEV(L16:L27)</f>
        <v>0.07294378014422061</v>
      </c>
    </row>
    <row r="29" spans="2:12" ht="12">
      <c r="B29" s="68" t="s">
        <v>1</v>
      </c>
      <c r="C29" s="69">
        <f>STDEVA(C17:C26)</f>
        <v>1.0956094194556747</v>
      </c>
      <c r="F29" s="95" t="s">
        <v>185</v>
      </c>
      <c r="G29" s="107">
        <f>G23-14.6</f>
        <v>-0.4339999999999993</v>
      </c>
      <c r="K29" s="97" t="s">
        <v>189</v>
      </c>
      <c r="L29" s="100">
        <f>L28*10</f>
        <v>0.729437801442206</v>
      </c>
    </row>
    <row r="30" spans="2:7" ht="12">
      <c r="B30" s="68" t="s">
        <v>2</v>
      </c>
      <c r="C30" s="93">
        <f>C29*100/C28</f>
        <v>7.456168636556926</v>
      </c>
      <c r="F30" s="97" t="s">
        <v>186</v>
      </c>
      <c r="G30" s="98">
        <f>G24/SQRT(5)</f>
        <v>0.6164138220384097</v>
      </c>
    </row>
    <row r="31" spans="6:12" ht="12">
      <c r="F31" s="97" t="s">
        <v>187</v>
      </c>
      <c r="G31" s="98">
        <f>0.6</f>
        <v>0.6</v>
      </c>
      <c r="K31" s="101" t="s">
        <v>192</v>
      </c>
      <c r="L31" s="105">
        <f>L29</f>
        <v>0.729437801442206</v>
      </c>
    </row>
    <row r="32" spans="2:4" ht="12">
      <c r="B32" s="102" t="s">
        <v>179</v>
      </c>
      <c r="C32" s="102"/>
      <c r="D32" s="102"/>
    </row>
    <row r="33" spans="2:12" ht="12">
      <c r="B33" s="24" t="s">
        <v>176</v>
      </c>
      <c r="D33" s="20">
        <f>C30</f>
        <v>7.456168636556926</v>
      </c>
      <c r="F33" s="106" t="s">
        <v>188</v>
      </c>
      <c r="G33" s="107">
        <f>SQRT(SUMSQ(G30:G31))*2</f>
        <v>1.720425528757348</v>
      </c>
      <c r="K33" s="97" t="s">
        <v>200</v>
      </c>
      <c r="L33" s="97" t="s">
        <v>201</v>
      </c>
    </row>
    <row r="34" spans="2:12" ht="12">
      <c r="B34" s="24" t="s">
        <v>177</v>
      </c>
      <c r="D34">
        <v>11</v>
      </c>
      <c r="K34" s="109" t="s">
        <v>179</v>
      </c>
      <c r="L34" s="110"/>
    </row>
    <row r="35" spans="2:13" ht="12">
      <c r="B35" s="24" t="s">
        <v>178</v>
      </c>
      <c r="F35" s="94"/>
      <c r="K35" s="97" t="s">
        <v>197</v>
      </c>
      <c r="L35" s="62"/>
      <c r="M35" s="65"/>
    </row>
    <row r="36" spans="11:13" ht="12">
      <c r="K36" s="97" t="s">
        <v>198</v>
      </c>
      <c r="L36" s="97" t="s">
        <v>199</v>
      </c>
      <c r="M36" s="65"/>
    </row>
    <row r="37" spans="2:13" ht="12">
      <c r="B37" s="102" t="s">
        <v>180</v>
      </c>
      <c r="C37" s="102"/>
      <c r="D37" s="102"/>
      <c r="F37" s="101"/>
      <c r="G37" s="101" t="s">
        <v>34</v>
      </c>
      <c r="K37" s="109" t="s">
        <v>180</v>
      </c>
      <c r="L37" s="109"/>
      <c r="M37" s="64"/>
    </row>
    <row r="38" spans="11:13" ht="12">
      <c r="K38" s="101" t="s">
        <v>193</v>
      </c>
      <c r="L38" s="101" t="s">
        <v>34</v>
      </c>
      <c r="M38" s="65"/>
    </row>
    <row r="39" spans="2:7" ht="12">
      <c r="B39" s="24" t="s">
        <v>153</v>
      </c>
      <c r="G39" s="141"/>
    </row>
    <row r="41" ht="12">
      <c r="G41" s="20"/>
    </row>
    <row r="43" spans="2:7" ht="12">
      <c r="B43" s="144" t="s">
        <v>179</v>
      </c>
      <c r="C43" s="145"/>
      <c r="D43" s="64"/>
      <c r="G43" s="21"/>
    </row>
    <row r="44" spans="2:4" ht="12">
      <c r="B44" s="112" t="s">
        <v>204</v>
      </c>
      <c r="C44" s="64"/>
      <c r="D44" s="64"/>
    </row>
    <row r="45" spans="2:3" ht="12">
      <c r="B45" s="97" t="s">
        <v>176</v>
      </c>
      <c r="C45" s="96">
        <f>D33</f>
        <v>7.456168636556926</v>
      </c>
    </row>
    <row r="46" spans="2:3" ht="12.75">
      <c r="B46" s="97" t="s">
        <v>202</v>
      </c>
      <c r="C46" s="62"/>
    </row>
    <row r="47" spans="2:3" ht="12.75">
      <c r="B47" s="97" t="s">
        <v>203</v>
      </c>
      <c r="C47" s="98">
        <f>(C28/100)^-0.15*100/C28</f>
        <v>9.073794915097382</v>
      </c>
    </row>
    <row r="49" spans="2:3" ht="12">
      <c r="B49" s="97" t="s">
        <v>207</v>
      </c>
      <c r="C49" s="96">
        <f>C45/C47</f>
        <v>0.8217254970300268</v>
      </c>
    </row>
    <row r="50" spans="2:3" ht="12">
      <c r="B50" s="97" t="s">
        <v>205</v>
      </c>
      <c r="C50" s="62"/>
    </row>
    <row r="52" spans="2:3" ht="12">
      <c r="B52" s="101" t="s">
        <v>206</v>
      </c>
      <c r="C52" s="101" t="s">
        <v>34</v>
      </c>
    </row>
    <row r="55" ht="12">
      <c r="B55" t="s">
        <v>152</v>
      </c>
    </row>
    <row r="60" ht="12">
      <c r="B60" s="116" t="s">
        <v>208</v>
      </c>
    </row>
    <row r="61" ht="12">
      <c r="B61" s="24" t="s">
        <v>209</v>
      </c>
    </row>
    <row r="62" spans="2:8" ht="12.75">
      <c r="B62" s="24" t="s">
        <v>174</v>
      </c>
      <c r="H62" s="113"/>
    </row>
    <row r="63" ht="12">
      <c r="B63" s="104" t="s">
        <v>175</v>
      </c>
    </row>
    <row r="64" ht="12">
      <c r="B64" s="104" t="s">
        <v>210</v>
      </c>
    </row>
    <row r="65" ht="12">
      <c r="B65" s="114"/>
    </row>
    <row r="66" spans="2:4" ht="12">
      <c r="B66" s="68" t="s">
        <v>39</v>
      </c>
      <c r="C66" s="68" t="s">
        <v>211</v>
      </c>
      <c r="D66" s="97" t="s">
        <v>215</v>
      </c>
    </row>
    <row r="67" spans="2:4" ht="12.75">
      <c r="B67" s="68">
        <v>1</v>
      </c>
      <c r="C67" s="70">
        <v>5.93</v>
      </c>
      <c r="D67" s="28">
        <v>5.96</v>
      </c>
    </row>
    <row r="68" spans="2:4" ht="12.75">
      <c r="B68" s="68">
        <v>2</v>
      </c>
      <c r="C68" s="70">
        <v>5.944</v>
      </c>
      <c r="D68" s="28">
        <v>5.92</v>
      </c>
    </row>
    <row r="69" spans="2:4" ht="12.75">
      <c r="B69" s="68">
        <v>3</v>
      </c>
      <c r="C69" s="70">
        <v>5.95</v>
      </c>
      <c r="D69" s="28">
        <v>6.11</v>
      </c>
    </row>
    <row r="70" spans="2:4" ht="12.75">
      <c r="B70" s="68">
        <v>4</v>
      </c>
      <c r="C70" s="70">
        <v>6.06</v>
      </c>
      <c r="D70" s="70">
        <v>5.964</v>
      </c>
    </row>
    <row r="71" spans="2:4" ht="12.75">
      <c r="B71" s="68">
        <v>5</v>
      </c>
      <c r="C71" s="70">
        <v>5.96</v>
      </c>
      <c r="D71" s="70">
        <v>5.944</v>
      </c>
    </row>
    <row r="72" spans="2:4" ht="12.75">
      <c r="B72" s="68">
        <v>6</v>
      </c>
      <c r="C72" s="70">
        <v>5.964</v>
      </c>
      <c r="D72" s="70">
        <v>6.02</v>
      </c>
    </row>
    <row r="73" spans="2:4" ht="12.75">
      <c r="B73" s="68">
        <v>7</v>
      </c>
      <c r="C73" s="70">
        <v>5.944</v>
      </c>
      <c r="D73" s="70">
        <v>5.928</v>
      </c>
    </row>
    <row r="74" spans="2:4" ht="12.75">
      <c r="B74" s="68">
        <v>8</v>
      </c>
      <c r="C74" s="70">
        <v>6.02</v>
      </c>
      <c r="D74" s="70">
        <v>5.944</v>
      </c>
    </row>
    <row r="75" spans="2:4" ht="12.75">
      <c r="B75" s="68">
        <v>9</v>
      </c>
      <c r="C75" s="70">
        <v>5.928</v>
      </c>
      <c r="D75" s="70">
        <v>5.95</v>
      </c>
    </row>
    <row r="76" spans="2:4" ht="12">
      <c r="B76" s="68">
        <v>10</v>
      </c>
      <c r="C76" s="70">
        <v>5.92</v>
      </c>
      <c r="D76" s="70">
        <v>6.06</v>
      </c>
    </row>
    <row r="77" spans="2:4" ht="12">
      <c r="B77" s="68"/>
      <c r="C77" s="68"/>
      <c r="D77" s="62"/>
    </row>
    <row r="78" spans="2:4" ht="12">
      <c r="B78" s="68" t="s">
        <v>0</v>
      </c>
      <c r="C78" s="70">
        <f>AVERAGE(C67:C77)</f>
        <v>5.962000000000001</v>
      </c>
      <c r="D78" s="70">
        <f>AVERAGE(D67:D77)</f>
        <v>5.98</v>
      </c>
    </row>
    <row r="79" spans="2:4" ht="12">
      <c r="B79" s="68" t="s">
        <v>1</v>
      </c>
      <c r="C79" s="71">
        <f>STDEVA(C67:C76)</f>
        <v>0.044362146025637546</v>
      </c>
      <c r="D79" s="71">
        <f>STDEVA(D67:D76)</f>
        <v>0.06267375846396957</v>
      </c>
    </row>
    <row r="80" spans="2:4" ht="12">
      <c r="B80" s="68" t="s">
        <v>2</v>
      </c>
      <c r="C80" s="39">
        <f>C79*100/C78</f>
        <v>0.744081617337094</v>
      </c>
      <c r="D80" s="39">
        <f>D79*100/D78</f>
        <v>1.048056161604842</v>
      </c>
    </row>
    <row r="82" ht="12">
      <c r="B82" s="102" t="s">
        <v>179</v>
      </c>
    </row>
    <row r="84" spans="2:3" ht="12">
      <c r="B84" s="97" t="s">
        <v>176</v>
      </c>
      <c r="C84" s="98">
        <f>C80</f>
        <v>0.744081617337094</v>
      </c>
    </row>
    <row r="85" spans="2:3" ht="12">
      <c r="B85" s="97" t="s">
        <v>177</v>
      </c>
      <c r="C85" s="62"/>
    </row>
    <row r="86" spans="2:3" ht="12">
      <c r="B86" s="97" t="s">
        <v>212</v>
      </c>
      <c r="C86" s="98">
        <f>0.3*100/C78</f>
        <v>5.031868500503187</v>
      </c>
    </row>
    <row r="87" spans="2:3" ht="12">
      <c r="B87" s="97" t="s">
        <v>2</v>
      </c>
      <c r="C87" s="98">
        <f>C86/2.83</f>
        <v>1.7780454065382285</v>
      </c>
    </row>
    <row r="88" spans="2:3" ht="12">
      <c r="B88" s="97" t="s">
        <v>176</v>
      </c>
      <c r="C88" s="115" t="s">
        <v>213</v>
      </c>
    </row>
    <row r="89" spans="2:3" ht="12">
      <c r="B89" s="97" t="s">
        <v>178</v>
      </c>
      <c r="C89" s="62"/>
    </row>
    <row r="92" spans="2:3" ht="12">
      <c r="B92" s="101" t="s">
        <v>206</v>
      </c>
      <c r="C92" s="101" t="s">
        <v>34</v>
      </c>
    </row>
    <row r="94" ht="12">
      <c r="B94" s="24" t="s">
        <v>216</v>
      </c>
    </row>
    <row r="95" ht="12">
      <c r="B95" s="24" t="s">
        <v>214</v>
      </c>
    </row>
  </sheetData>
  <sheetProtection/>
  <mergeCells count="3">
    <mergeCell ref="K15:L15"/>
    <mergeCell ref="K14:L14"/>
    <mergeCell ref="B43:C43"/>
  </mergeCells>
  <printOptions/>
  <pageMargins left="0.7" right="0.7" top="0.75" bottom="0.75" header="0.3" footer="0.3"/>
  <pageSetup orientation="portrait" paperSize="9"/>
  <drawing r:id="rId6"/>
  <legacyDrawing r:id="rId5"/>
  <oleObjects>
    <oleObject progId="Equation.3" shapeId="10556349" r:id="rId1"/>
    <oleObject progId="Equation.3" shapeId="10556350" r:id="rId2"/>
    <oleObject progId="Equation.3" shapeId="10556351" r:id="rId3"/>
    <oleObject progId="Equation.3" shapeId="10574192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22:D41"/>
  <sheetViews>
    <sheetView zoomScalePageLayoutView="0" workbookViewId="0" topLeftCell="A16">
      <selection activeCell="H35" sqref="H35"/>
    </sheetView>
  </sheetViews>
  <sheetFormatPr defaultColWidth="9.140625" defaultRowHeight="12.75"/>
  <cols>
    <col min="2" max="2" width="20.140625" style="0" customWidth="1"/>
  </cols>
  <sheetData>
    <row r="22" ht="12">
      <c r="B22" s="24" t="s">
        <v>154</v>
      </c>
    </row>
    <row r="23" ht="12">
      <c r="B23" s="24" t="s">
        <v>155</v>
      </c>
    </row>
    <row r="25" ht="12">
      <c r="B25" s="24" t="s">
        <v>156</v>
      </c>
    </row>
    <row r="26" ht="12">
      <c r="B26" s="24" t="s">
        <v>157</v>
      </c>
    </row>
    <row r="28" ht="12">
      <c r="B28" s="24" t="s">
        <v>171</v>
      </c>
    </row>
    <row r="29" ht="12">
      <c r="B29" s="24" t="s">
        <v>158</v>
      </c>
    </row>
    <row r="30" ht="12">
      <c r="B30" s="24" t="s">
        <v>159</v>
      </c>
    </row>
    <row r="32" ht="12">
      <c r="B32" s="24" t="s">
        <v>160</v>
      </c>
    </row>
    <row r="33" ht="12">
      <c r="B33" s="24" t="s">
        <v>161</v>
      </c>
    </row>
    <row r="35" ht="12">
      <c r="B35" s="24" t="s">
        <v>162</v>
      </c>
    </row>
    <row r="37" spans="2:3" ht="12">
      <c r="B37" s="24" t="s">
        <v>163</v>
      </c>
      <c r="C37">
        <v>12</v>
      </c>
    </row>
    <row r="38" spans="2:3" ht="12">
      <c r="B38" s="24" t="s">
        <v>164</v>
      </c>
      <c r="C38">
        <v>10</v>
      </c>
    </row>
    <row r="39" spans="2:4" ht="12">
      <c r="B39" s="24" t="s">
        <v>166</v>
      </c>
      <c r="C39">
        <v>22</v>
      </c>
      <c r="D39" s="24" t="s">
        <v>165</v>
      </c>
    </row>
    <row r="40" spans="2:4" ht="12">
      <c r="B40" s="24" t="s">
        <v>167</v>
      </c>
      <c r="C40" s="24" t="s">
        <v>168</v>
      </c>
      <c r="D40">
        <v>18</v>
      </c>
    </row>
    <row r="41" spans="2:4" ht="12">
      <c r="B41" s="24" t="s">
        <v>169</v>
      </c>
      <c r="C41" s="24" t="s">
        <v>170</v>
      </c>
      <c r="D41">
        <v>27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G34"/>
  <sheetViews>
    <sheetView zoomScalePageLayoutView="0" workbookViewId="0" topLeftCell="A19">
      <selection activeCell="L28" sqref="L27:L28"/>
    </sheetView>
  </sheetViews>
  <sheetFormatPr defaultColWidth="9.140625" defaultRowHeight="12.75"/>
  <cols>
    <col min="2" max="2" width="18.28125" style="0" customWidth="1"/>
  </cols>
  <sheetData>
    <row r="4" spans="2:5" s="65" customFormat="1" ht="15">
      <c r="B4" s="75" t="s">
        <v>81</v>
      </c>
      <c r="C4" s="76"/>
      <c r="D4" s="76"/>
      <c r="E4" s="76"/>
    </row>
    <row r="5" spans="2:5" s="65" customFormat="1" ht="12">
      <c r="B5" s="34" t="s">
        <v>82</v>
      </c>
      <c r="C5" s="35">
        <f>'VAL-O1'!C51</f>
        <v>0.8</v>
      </c>
      <c r="D5" s="36"/>
      <c r="E5" s="36" t="s">
        <v>83</v>
      </c>
    </row>
    <row r="6" spans="2:5" s="65" customFormat="1" ht="12">
      <c r="B6" s="36" t="s">
        <v>84</v>
      </c>
      <c r="C6" s="35">
        <f>C5*2.83</f>
        <v>2.2640000000000002</v>
      </c>
      <c r="D6" s="36"/>
      <c r="E6" s="36"/>
    </row>
    <row r="7" spans="2:7" s="65" customFormat="1" ht="12">
      <c r="B7" s="77" t="s">
        <v>85</v>
      </c>
      <c r="C7" s="77" t="s">
        <v>86</v>
      </c>
      <c r="D7" s="77" t="s">
        <v>87</v>
      </c>
      <c r="E7" s="77" t="s">
        <v>88</v>
      </c>
      <c r="F7" s="77" t="s">
        <v>89</v>
      </c>
      <c r="G7" s="77" t="s">
        <v>90</v>
      </c>
    </row>
    <row r="8" spans="2:7" s="65" customFormat="1" ht="12">
      <c r="B8" s="77">
        <v>1</v>
      </c>
      <c r="C8" s="77">
        <v>1.59</v>
      </c>
      <c r="D8" s="77">
        <v>1.65</v>
      </c>
      <c r="E8" s="78">
        <f aca="true" t="shared" si="0" ref="E8:E13">AVERAGE(C8:D8)</f>
        <v>1.62</v>
      </c>
      <c r="F8" s="37">
        <f>IF(D8="","",ABS(C8-D8)*100/(AVERAGE(C8:D8)))</f>
        <v>3.703703703703693</v>
      </c>
      <c r="G8" s="38" t="str">
        <f aca="true" t="shared" si="1" ref="G8:G15">IF(C8="","",IF(F8&lt;$C$6,"Uygun","Uyarı"))</f>
        <v>Uyarı</v>
      </c>
    </row>
    <row r="9" spans="2:7" s="65" customFormat="1" ht="12">
      <c r="B9" s="77">
        <v>2</v>
      </c>
      <c r="C9" s="77">
        <v>2.45</v>
      </c>
      <c r="D9" s="77">
        <v>2.56</v>
      </c>
      <c r="E9" s="78">
        <f t="shared" si="0"/>
        <v>2.505</v>
      </c>
      <c r="F9" s="37">
        <f>IF(D9="","",ABS(C9-D9)*100/(AVERAGE(C9:D9)))</f>
        <v>4.391217564870255</v>
      </c>
      <c r="G9" s="38" t="str">
        <f t="shared" si="1"/>
        <v>Uyarı</v>
      </c>
    </row>
    <row r="10" spans="2:7" s="65" customFormat="1" ht="12">
      <c r="B10" s="77">
        <v>3</v>
      </c>
      <c r="C10" s="77">
        <v>3.74</v>
      </c>
      <c r="D10" s="77">
        <v>3.45</v>
      </c>
      <c r="E10" s="78">
        <f t="shared" si="0"/>
        <v>3.595</v>
      </c>
      <c r="F10" s="37">
        <f>IF(D10="","",ABS(C10-D10)*100/(AVERAGE(C10:D10)))</f>
        <v>8.066759388038944</v>
      </c>
      <c r="G10" s="38" t="str">
        <f t="shared" si="1"/>
        <v>Uyarı</v>
      </c>
    </row>
    <row r="11" spans="2:7" s="65" customFormat="1" ht="12">
      <c r="B11" s="77">
        <v>4</v>
      </c>
      <c r="C11" s="77">
        <v>3.42</v>
      </c>
      <c r="D11" s="77">
        <v>3.48</v>
      </c>
      <c r="E11" s="78">
        <f t="shared" si="0"/>
        <v>3.45</v>
      </c>
      <c r="F11" s="37">
        <f>IF(D11="","",ABS(C11-D11)*100/(AVERAGE(C11:D11)))</f>
        <v>1.7391304347826102</v>
      </c>
      <c r="G11" s="38" t="str">
        <f t="shared" si="1"/>
        <v>Uygun</v>
      </c>
    </row>
    <row r="12" spans="2:7" s="65" customFormat="1" ht="12">
      <c r="B12" s="77">
        <v>5</v>
      </c>
      <c r="C12" s="77">
        <v>4.54</v>
      </c>
      <c r="D12" s="77">
        <v>4.59</v>
      </c>
      <c r="E12" s="78">
        <f t="shared" si="0"/>
        <v>4.5649999999999995</v>
      </c>
      <c r="F12" s="37">
        <f>IF(D12="","",ABS(C12-D12)*100/(AVERAGE(C12:D12)))</f>
        <v>1.0952902519167542</v>
      </c>
      <c r="G12" s="38" t="str">
        <f t="shared" si="1"/>
        <v>Uygun</v>
      </c>
    </row>
    <row r="13" spans="2:7" s="65" customFormat="1" ht="12">
      <c r="B13" s="77">
        <v>6</v>
      </c>
      <c r="C13" s="77">
        <v>119</v>
      </c>
      <c r="D13" s="79">
        <v>122</v>
      </c>
      <c r="E13" s="78">
        <f t="shared" si="0"/>
        <v>120.5</v>
      </c>
      <c r="G13" s="38" t="str">
        <f t="shared" si="1"/>
        <v>Uygun</v>
      </c>
    </row>
    <row r="14" spans="2:7" s="65" customFormat="1" ht="12">
      <c r="B14" s="77">
        <v>7</v>
      </c>
      <c r="C14" s="77"/>
      <c r="D14" s="79"/>
      <c r="E14" s="78"/>
      <c r="G14" s="38">
        <f t="shared" si="1"/>
      </c>
    </row>
    <row r="15" spans="2:7" s="65" customFormat="1" ht="12">
      <c r="B15" s="77">
        <v>8</v>
      </c>
      <c r="C15" s="77"/>
      <c r="D15" s="77"/>
      <c r="E15" s="78"/>
      <c r="G15" s="38">
        <f t="shared" si="1"/>
      </c>
    </row>
    <row r="16" spans="2:5" s="65" customFormat="1" ht="12">
      <c r="B16" s="77">
        <v>9</v>
      </c>
      <c r="C16" s="77"/>
      <c r="D16" s="77"/>
      <c r="E16" s="78"/>
    </row>
    <row r="17" spans="2:5" s="65" customFormat="1" ht="12">
      <c r="B17" s="77">
        <v>10</v>
      </c>
      <c r="C17" s="77"/>
      <c r="D17" s="36"/>
      <c r="E17" s="36"/>
    </row>
    <row r="18" spans="2:4" s="65" customFormat="1" ht="12">
      <c r="B18" s="67"/>
      <c r="C18" s="67"/>
      <c r="D18" s="67"/>
    </row>
    <row r="19" spans="2:4" s="65" customFormat="1" ht="12">
      <c r="B19" s="67"/>
      <c r="C19" s="67"/>
      <c r="D19" s="67"/>
    </row>
    <row r="20" spans="2:7" s="65" customFormat="1" ht="15">
      <c r="B20" s="67"/>
      <c r="C20" s="67"/>
      <c r="D20" s="67"/>
      <c r="F20" s="76"/>
      <c r="G20" s="76"/>
    </row>
    <row r="21" spans="2:5" s="65" customFormat="1" ht="15">
      <c r="B21" s="75" t="s">
        <v>95</v>
      </c>
      <c r="C21" s="76"/>
      <c r="D21" s="76"/>
      <c r="E21" s="76"/>
    </row>
    <row r="22" spans="2:5" s="65" customFormat="1" ht="12">
      <c r="B22" s="34" t="s">
        <v>82</v>
      </c>
      <c r="C22" s="35">
        <v>1.5</v>
      </c>
      <c r="D22" s="36"/>
      <c r="E22" s="36" t="s">
        <v>83</v>
      </c>
    </row>
    <row r="23" spans="2:5" s="65" customFormat="1" ht="12">
      <c r="B23" s="36" t="s">
        <v>84</v>
      </c>
      <c r="C23" s="35">
        <f>C22*2.83</f>
        <v>4.245</v>
      </c>
      <c r="D23" s="36"/>
      <c r="E23" s="36"/>
    </row>
    <row r="24" spans="2:7" s="65" customFormat="1" ht="12">
      <c r="B24" s="77" t="s">
        <v>85</v>
      </c>
      <c r="C24" s="77" t="s">
        <v>96</v>
      </c>
      <c r="D24" s="77" t="s">
        <v>97</v>
      </c>
      <c r="E24" s="77" t="s">
        <v>88</v>
      </c>
      <c r="F24" s="77" t="s">
        <v>89</v>
      </c>
      <c r="G24" s="77" t="s">
        <v>90</v>
      </c>
    </row>
    <row r="25" spans="2:7" s="65" customFormat="1" ht="12">
      <c r="B25" s="77">
        <v>1</v>
      </c>
      <c r="C25" s="77">
        <v>1.59</v>
      </c>
      <c r="D25" s="77">
        <v>1.65</v>
      </c>
      <c r="E25" s="78">
        <f aca="true" t="shared" si="2" ref="E25:E30">AVERAGE(C25:D25)</f>
        <v>1.62</v>
      </c>
      <c r="F25" s="37">
        <f>IF(D25="","",ABS(C25-D25)*100/(AVERAGE(C25:D25)))</f>
        <v>3.703703703703693</v>
      </c>
      <c r="G25" s="38" t="str">
        <f aca="true" t="shared" si="3" ref="G25:G30">IF(C25="","",IF(F25&lt;$C$23,"Uygun","Uyarı"))</f>
        <v>Uygun</v>
      </c>
    </row>
    <row r="26" spans="2:7" s="65" customFormat="1" ht="12">
      <c r="B26" s="77">
        <v>2</v>
      </c>
      <c r="C26" s="77">
        <v>2.45</v>
      </c>
      <c r="D26" s="77">
        <v>2.56</v>
      </c>
      <c r="E26" s="78">
        <f t="shared" si="2"/>
        <v>2.505</v>
      </c>
      <c r="F26" s="37">
        <f>IF(D26="","",ABS(C26-D26)*100/(AVERAGE(C26:D26)))</f>
        <v>4.391217564870255</v>
      </c>
      <c r="G26" s="38" t="str">
        <f t="shared" si="3"/>
        <v>Uyarı</v>
      </c>
    </row>
    <row r="27" spans="2:7" s="65" customFormat="1" ht="12">
      <c r="B27" s="77">
        <v>3</v>
      </c>
      <c r="C27" s="77">
        <v>3.74</v>
      </c>
      <c r="D27" s="77">
        <v>3.45</v>
      </c>
      <c r="E27" s="78">
        <f t="shared" si="2"/>
        <v>3.595</v>
      </c>
      <c r="F27" s="37">
        <f>IF(D27="","",ABS(C27-D27)*100/(AVERAGE(C27:D27)))</f>
        <v>8.066759388038944</v>
      </c>
      <c r="G27" s="38" t="str">
        <f t="shared" si="3"/>
        <v>Uyarı</v>
      </c>
    </row>
    <row r="28" spans="2:7" s="65" customFormat="1" ht="12">
      <c r="B28" s="77">
        <v>4</v>
      </c>
      <c r="C28" s="77">
        <v>3.42</v>
      </c>
      <c r="D28" s="77">
        <v>3.48</v>
      </c>
      <c r="E28" s="78">
        <f t="shared" si="2"/>
        <v>3.45</v>
      </c>
      <c r="F28" s="37">
        <f>IF(D28="","",ABS(C28-D28)*100/(AVERAGE(C28:D28)))</f>
        <v>1.7391304347826102</v>
      </c>
      <c r="G28" s="38" t="str">
        <f t="shared" si="3"/>
        <v>Uygun</v>
      </c>
    </row>
    <row r="29" spans="2:7" s="65" customFormat="1" ht="12">
      <c r="B29" s="77">
        <v>5</v>
      </c>
      <c r="C29" s="77">
        <v>4.54</v>
      </c>
      <c r="D29" s="77">
        <v>4.59</v>
      </c>
      <c r="E29" s="78">
        <f t="shared" si="2"/>
        <v>4.5649999999999995</v>
      </c>
      <c r="F29" s="37">
        <f>IF(D29="","",ABS(C29-D29)*100/(AVERAGE(C29:D29)))</f>
        <v>1.0952902519167542</v>
      </c>
      <c r="G29" s="38" t="str">
        <f t="shared" si="3"/>
        <v>Uygun</v>
      </c>
    </row>
    <row r="30" spans="2:7" s="65" customFormat="1" ht="12">
      <c r="B30" s="77">
        <v>6</v>
      </c>
      <c r="C30" s="77">
        <v>119</v>
      </c>
      <c r="D30" s="79">
        <v>122</v>
      </c>
      <c r="E30" s="78">
        <f t="shared" si="2"/>
        <v>120.5</v>
      </c>
      <c r="G30" s="38" t="str">
        <f t="shared" si="3"/>
        <v>Uygun</v>
      </c>
    </row>
    <row r="31" spans="2:7" s="65" customFormat="1" ht="12">
      <c r="B31" s="77">
        <v>7</v>
      </c>
      <c r="C31" s="77"/>
      <c r="D31" s="79"/>
      <c r="E31" s="78"/>
      <c r="G31" s="38">
        <f>IF(C31="","",IF(F31&lt;$C$6,"Uygun","Uyarı"))</f>
      </c>
    </row>
    <row r="32" spans="2:7" s="65" customFormat="1" ht="12">
      <c r="B32" s="77">
        <v>8</v>
      </c>
      <c r="C32" s="77"/>
      <c r="D32" s="77"/>
      <c r="E32" s="78"/>
      <c r="G32" s="38">
        <f>IF(C32="","",IF(F32&lt;$C$6,"Uygun","Uyarı"))</f>
      </c>
    </row>
    <row r="33" spans="2:5" s="65" customFormat="1" ht="12">
      <c r="B33" s="77">
        <v>9</v>
      </c>
      <c r="C33" s="77"/>
      <c r="D33" s="77"/>
      <c r="E33" s="78"/>
    </row>
    <row r="34" spans="2:5" s="65" customFormat="1" ht="12">
      <c r="B34" s="77">
        <v>10</v>
      </c>
      <c r="C34" s="77"/>
      <c r="D34" s="36"/>
      <c r="E34" s="36"/>
    </row>
  </sheetData>
  <sheetProtection/>
  <conditionalFormatting sqref="G8:G15">
    <cfRule type="cellIs" priority="4" dxfId="2" operator="equal" stopIfTrue="1">
      <formula>"Uygun"</formula>
    </cfRule>
    <cfRule type="cellIs" priority="5" dxfId="1" operator="equal" stopIfTrue="1">
      <formula>"Uyarı"</formula>
    </cfRule>
    <cfRule type="cellIs" priority="6" dxfId="0" operator="equal" stopIfTrue="1">
      <formula>"Tekrar"</formula>
    </cfRule>
  </conditionalFormatting>
  <conditionalFormatting sqref="G25:G32">
    <cfRule type="cellIs" priority="1" dxfId="2" operator="equal" stopIfTrue="1">
      <formula>"Uygun"</formula>
    </cfRule>
    <cfRule type="cellIs" priority="2" dxfId="1" operator="equal" stopIfTrue="1">
      <formula>"Uyarı"</formula>
    </cfRule>
    <cfRule type="cellIs" priority="3" dxfId="0" operator="equal" stopIfTrue="1">
      <formula>"Tekrar"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B30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9.140625" style="58" customWidth="1"/>
    <col min="2" max="2" width="28.8515625" style="58" customWidth="1"/>
    <col min="3" max="3" width="9.140625" style="58" customWidth="1"/>
    <col min="4" max="4" width="13.8515625" style="58" customWidth="1"/>
    <col min="5" max="5" width="14.8515625" style="58" customWidth="1"/>
    <col min="6" max="16384" width="9.140625" style="58" customWidth="1"/>
  </cols>
  <sheetData>
    <row r="2" ht="18">
      <c r="B2" s="138" t="s">
        <v>121</v>
      </c>
    </row>
    <row r="3" ht="15">
      <c r="B3" s="59"/>
    </row>
    <row r="4" ht="15">
      <c r="B4" s="59" t="s">
        <v>122</v>
      </c>
    </row>
    <row r="5" ht="15">
      <c r="B5" s="59"/>
    </row>
    <row r="6" ht="15">
      <c r="B6" s="59" t="s">
        <v>123</v>
      </c>
    </row>
    <row r="7" ht="15">
      <c r="B7" s="59"/>
    </row>
    <row r="8" ht="15">
      <c r="B8" s="59" t="s">
        <v>124</v>
      </c>
    </row>
    <row r="9" ht="15">
      <c r="B9" s="59"/>
    </row>
    <row r="10" ht="15">
      <c r="B10" s="59" t="s">
        <v>125</v>
      </c>
    </row>
    <row r="11" ht="15">
      <c r="B11" s="59"/>
    </row>
    <row r="12" ht="15">
      <c r="B12" s="59" t="s">
        <v>126</v>
      </c>
    </row>
    <row r="13" ht="15">
      <c r="B13" s="59"/>
    </row>
    <row r="14" ht="15">
      <c r="B14" s="59" t="s">
        <v>127</v>
      </c>
    </row>
    <row r="15" ht="15">
      <c r="B15" s="59"/>
    </row>
    <row r="16" ht="15">
      <c r="B16" s="59" t="s">
        <v>128</v>
      </c>
    </row>
    <row r="17" ht="15">
      <c r="B17" s="59" t="s">
        <v>129</v>
      </c>
    </row>
    <row r="18" ht="15">
      <c r="B18" s="59" t="s">
        <v>130</v>
      </c>
    </row>
    <row r="19" ht="15">
      <c r="B19" s="59" t="s">
        <v>131</v>
      </c>
    </row>
    <row r="20" ht="15">
      <c r="B20" s="59" t="s">
        <v>136</v>
      </c>
    </row>
    <row r="21" ht="15">
      <c r="B21" s="59"/>
    </row>
    <row r="22" ht="15">
      <c r="B22" s="59"/>
    </row>
    <row r="23" ht="15">
      <c r="B23" s="59"/>
    </row>
    <row r="24" ht="15">
      <c r="B24" s="137" t="s">
        <v>281</v>
      </c>
    </row>
    <row r="25" ht="15">
      <c r="B25" s="59" t="s">
        <v>132</v>
      </c>
    </row>
    <row r="26" ht="15">
      <c r="B26" s="59" t="s">
        <v>133</v>
      </c>
    </row>
    <row r="27" ht="15">
      <c r="B27" s="59" t="s">
        <v>134</v>
      </c>
    </row>
    <row r="28" ht="15">
      <c r="B28" s="59" t="s">
        <v>135</v>
      </c>
    </row>
    <row r="29" ht="15">
      <c r="B29" s="59"/>
    </row>
    <row r="30" ht="15">
      <c r="B30" s="5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1"/>
  <sheetViews>
    <sheetView zoomScalePageLayoutView="0" workbookViewId="0" topLeftCell="A1">
      <selection activeCell="K18" sqref="K18"/>
    </sheetView>
  </sheetViews>
  <sheetFormatPr defaultColWidth="9.140625" defaultRowHeight="12.75"/>
  <cols>
    <col min="6" max="6" width="16.57421875" style="0" customWidth="1"/>
    <col min="8" max="8" width="16.140625" style="0" customWidth="1"/>
  </cols>
  <sheetData>
    <row r="1" ht="12">
      <c r="A1" s="24" t="s">
        <v>86</v>
      </c>
    </row>
    <row r="2" spans="2:4" ht="15">
      <c r="B2" s="41" t="s">
        <v>115</v>
      </c>
      <c r="C2" s="41" t="s">
        <v>116</v>
      </c>
      <c r="D2" s="41" t="s">
        <v>117</v>
      </c>
    </row>
    <row r="3" spans="2:6" ht="15">
      <c r="B3" s="41">
        <v>1</v>
      </c>
      <c r="C3" s="42">
        <v>2.12</v>
      </c>
      <c r="D3" s="41">
        <v>2.12</v>
      </c>
      <c r="F3" t="s">
        <v>16</v>
      </c>
    </row>
    <row r="4" spans="2:4" ht="15.75" thickBot="1">
      <c r="B4" s="41">
        <v>2</v>
      </c>
      <c r="C4" s="42">
        <v>2.14</v>
      </c>
      <c r="D4" s="41">
        <v>2.13</v>
      </c>
    </row>
    <row r="5" spans="2:8" ht="15">
      <c r="B5" s="41">
        <v>3</v>
      </c>
      <c r="C5" s="42">
        <v>2.09</v>
      </c>
      <c r="D5" s="41">
        <v>2.14</v>
      </c>
      <c r="F5" s="1"/>
      <c r="G5" s="1" t="s">
        <v>6</v>
      </c>
      <c r="H5" s="1" t="s">
        <v>7</v>
      </c>
    </row>
    <row r="6" spans="2:8" ht="15">
      <c r="B6" s="41">
        <v>4</v>
      </c>
      <c r="C6" s="42">
        <v>2.08</v>
      </c>
      <c r="D6" s="41">
        <v>2.14</v>
      </c>
      <c r="F6" s="30" t="s">
        <v>8</v>
      </c>
      <c r="G6" s="30">
        <v>2.1149999999999998</v>
      </c>
      <c r="H6" s="30">
        <v>2.1310000000000002</v>
      </c>
    </row>
    <row r="7" spans="2:8" ht="15">
      <c r="B7" s="41">
        <v>5</v>
      </c>
      <c r="C7" s="42">
        <v>2.12</v>
      </c>
      <c r="D7" s="41">
        <v>2.14</v>
      </c>
      <c r="F7" s="30" t="s">
        <v>4</v>
      </c>
      <c r="G7" s="30">
        <v>0.0006055555555555549</v>
      </c>
      <c r="H7" s="30">
        <v>7.666666666666695E-05</v>
      </c>
    </row>
    <row r="8" spans="2:8" ht="15">
      <c r="B8" s="41">
        <v>6</v>
      </c>
      <c r="C8" s="42">
        <v>2.13</v>
      </c>
      <c r="D8" s="41">
        <v>2.12</v>
      </c>
      <c r="F8" s="30" t="s">
        <v>9</v>
      </c>
      <c r="G8" s="30">
        <v>10</v>
      </c>
      <c r="H8" s="30">
        <v>10</v>
      </c>
    </row>
    <row r="9" spans="2:8" ht="15">
      <c r="B9" s="41">
        <v>7</v>
      </c>
      <c r="C9" s="42">
        <v>2.08</v>
      </c>
      <c r="D9" s="41">
        <v>2.14</v>
      </c>
      <c r="F9" s="30" t="s">
        <v>5</v>
      </c>
      <c r="G9" s="30">
        <v>9</v>
      </c>
      <c r="H9" s="30">
        <v>9</v>
      </c>
    </row>
    <row r="10" spans="2:8" ht="15">
      <c r="B10" s="41">
        <v>8</v>
      </c>
      <c r="C10" s="42">
        <v>2.15</v>
      </c>
      <c r="D10" s="41">
        <v>2.13</v>
      </c>
      <c r="F10" s="30" t="s">
        <v>3</v>
      </c>
      <c r="G10" s="43">
        <v>7.898550724637643</v>
      </c>
      <c r="H10" s="30"/>
    </row>
    <row r="11" spans="2:8" ht="15">
      <c r="B11" s="41">
        <v>9</v>
      </c>
      <c r="C11" s="42">
        <v>2.11</v>
      </c>
      <c r="D11" s="41">
        <v>2.12</v>
      </c>
      <c r="F11" s="30" t="s">
        <v>17</v>
      </c>
      <c r="G11" s="30">
        <v>0.0025301539718368122</v>
      </c>
      <c r="H11" s="30"/>
    </row>
    <row r="12" spans="2:8" ht="15.75" thickBot="1">
      <c r="B12" s="41">
        <v>10</v>
      </c>
      <c r="C12" s="42">
        <v>2.13</v>
      </c>
      <c r="D12" s="41">
        <v>2.13</v>
      </c>
      <c r="F12" s="31" t="s">
        <v>18</v>
      </c>
      <c r="G12" s="44">
        <v>3.17889310445827</v>
      </c>
      <c r="H12" s="31"/>
    </row>
    <row r="15" ht="12">
      <c r="F15" t="s">
        <v>118</v>
      </c>
    </row>
    <row r="16" ht="12.75" thickBot="1"/>
    <row r="17" spans="6:8" ht="12.75">
      <c r="F17" s="1"/>
      <c r="G17" s="1" t="s">
        <v>6</v>
      </c>
      <c r="H17" s="1" t="s">
        <v>7</v>
      </c>
    </row>
    <row r="18" spans="6:8" ht="12">
      <c r="F18" s="30" t="s">
        <v>8</v>
      </c>
      <c r="G18" s="30">
        <v>2.1149999999999998</v>
      </c>
      <c r="H18" s="30">
        <v>2.1310000000000002</v>
      </c>
    </row>
    <row r="19" spans="6:8" ht="12">
      <c r="F19" s="30" t="s">
        <v>4</v>
      </c>
      <c r="G19" s="30">
        <v>0.0006055555555555549</v>
      </c>
      <c r="H19" s="30">
        <v>7.666666666666695E-05</v>
      </c>
    </row>
    <row r="20" spans="6:8" ht="12">
      <c r="F20" s="30" t="s">
        <v>9</v>
      </c>
      <c r="G20" s="30">
        <v>10</v>
      </c>
      <c r="H20" s="30">
        <v>10</v>
      </c>
    </row>
    <row r="21" spans="6:8" ht="12">
      <c r="F21" s="30" t="s">
        <v>10</v>
      </c>
      <c r="G21" s="30">
        <v>0</v>
      </c>
      <c r="H21" s="30"/>
    </row>
    <row r="22" spans="6:8" ht="12">
      <c r="F22" s="30" t="s">
        <v>5</v>
      </c>
      <c r="G22" s="30">
        <v>11</v>
      </c>
      <c r="H22" s="30"/>
    </row>
    <row r="23" spans="6:8" ht="15">
      <c r="F23" s="30" t="s">
        <v>11</v>
      </c>
      <c r="G23" s="45">
        <v>-1.937122349451084</v>
      </c>
      <c r="H23" s="30"/>
    </row>
    <row r="24" spans="6:8" ht="12">
      <c r="F24" s="30" t="s">
        <v>12</v>
      </c>
      <c r="G24" s="30">
        <v>0.039413190186011506</v>
      </c>
      <c r="H24" s="30"/>
    </row>
    <row r="25" spans="6:8" ht="12">
      <c r="F25" s="30" t="s">
        <v>13</v>
      </c>
      <c r="G25" s="30">
        <v>1.7958848187040437</v>
      </c>
      <c r="H25" s="30"/>
    </row>
    <row r="26" spans="6:8" ht="12">
      <c r="F26" s="30" t="s">
        <v>14</v>
      </c>
      <c r="G26" s="30">
        <v>0.07882638037202301</v>
      </c>
      <c r="H26" s="30"/>
    </row>
    <row r="27" spans="6:8" ht="15.75" thickBot="1">
      <c r="F27" s="31" t="s">
        <v>15</v>
      </c>
      <c r="G27" s="46">
        <v>2.2009851600916384</v>
      </c>
      <c r="H27" s="31"/>
    </row>
    <row r="30" ht="12">
      <c r="F30" t="s">
        <v>98</v>
      </c>
    </row>
    <row r="32" ht="12.75" thickBot="1">
      <c r="F32" t="s">
        <v>99</v>
      </c>
    </row>
    <row r="33" spans="6:10" ht="12.75">
      <c r="F33" s="1" t="s">
        <v>100</v>
      </c>
      <c r="G33" s="1" t="s">
        <v>101</v>
      </c>
      <c r="H33" s="1" t="s">
        <v>102</v>
      </c>
      <c r="I33" s="1" t="s">
        <v>103</v>
      </c>
      <c r="J33" s="1" t="s">
        <v>4</v>
      </c>
    </row>
    <row r="34" spans="6:10" ht="12">
      <c r="F34" s="30" t="s">
        <v>104</v>
      </c>
      <c r="G34" s="30">
        <v>10</v>
      </c>
      <c r="H34" s="30">
        <v>21.15</v>
      </c>
      <c r="I34" s="30">
        <v>2.1149999999999998</v>
      </c>
      <c r="J34" s="30">
        <v>0.0006055555555555549</v>
      </c>
    </row>
    <row r="35" spans="6:10" ht="12.75" thickBot="1">
      <c r="F35" s="31" t="s">
        <v>105</v>
      </c>
      <c r="G35" s="31">
        <v>10</v>
      </c>
      <c r="H35" s="31">
        <v>21.310000000000002</v>
      </c>
      <c r="I35" s="31">
        <v>2.1310000000000002</v>
      </c>
      <c r="J35" s="31">
        <v>7.666666666666695E-05</v>
      </c>
    </row>
    <row r="38" ht="12.75" thickBot="1">
      <c r="F38" t="s">
        <v>106</v>
      </c>
    </row>
    <row r="39" spans="6:12" ht="12.75">
      <c r="F39" s="1" t="s">
        <v>107</v>
      </c>
      <c r="G39" s="1" t="s">
        <v>108</v>
      </c>
      <c r="H39" s="1" t="s">
        <v>5</v>
      </c>
      <c r="I39" s="1" t="s">
        <v>109</v>
      </c>
      <c r="J39" s="1" t="s">
        <v>3</v>
      </c>
      <c r="K39" s="1" t="s">
        <v>110</v>
      </c>
      <c r="L39" s="1" t="s">
        <v>111</v>
      </c>
    </row>
    <row r="40" spans="6:12" ht="12">
      <c r="F40" s="30" t="s">
        <v>112</v>
      </c>
      <c r="G40" s="30">
        <v>0.0012800000000000068</v>
      </c>
      <c r="H40" s="30">
        <v>1</v>
      </c>
      <c r="I40" s="30">
        <v>0.0012800000000000068</v>
      </c>
      <c r="J40" s="47">
        <v>3.752442996742693</v>
      </c>
      <c r="K40" s="30">
        <v>0.06858598949132519</v>
      </c>
      <c r="L40" s="47">
        <v>4.413873419170566</v>
      </c>
    </row>
    <row r="41" spans="6:12" ht="12">
      <c r="F41" s="30" t="s">
        <v>113</v>
      </c>
      <c r="G41" s="30">
        <v>0.006139999999999997</v>
      </c>
      <c r="H41" s="30">
        <v>18</v>
      </c>
      <c r="I41" s="30">
        <v>0.00034111111111111093</v>
      </c>
      <c r="J41" s="30"/>
      <c r="K41" s="30"/>
      <c r="L41" s="30"/>
    </row>
    <row r="42" spans="6:12" ht="12">
      <c r="F42" s="30"/>
      <c r="G42" s="30"/>
      <c r="H42" s="30"/>
      <c r="I42" s="30"/>
      <c r="J42" s="30"/>
      <c r="K42" s="30"/>
      <c r="L42" s="30"/>
    </row>
    <row r="43" spans="6:12" ht="12.75" thickBot="1">
      <c r="F43" s="31" t="s">
        <v>114</v>
      </c>
      <c r="G43" s="31">
        <v>0.007420000000000004</v>
      </c>
      <c r="H43" s="31">
        <v>19</v>
      </c>
      <c r="I43" s="31"/>
      <c r="J43" s="31"/>
      <c r="K43" s="31"/>
      <c r="L43" s="31"/>
    </row>
    <row r="45" s="48" customFormat="1" ht="12"/>
    <row r="47" spans="2:6" ht="12">
      <c r="B47" s="28" t="s">
        <v>115</v>
      </c>
      <c r="C47" s="28" t="s">
        <v>116</v>
      </c>
      <c r="D47" s="28" t="s">
        <v>117</v>
      </c>
      <c r="F47" t="s">
        <v>16</v>
      </c>
    </row>
    <row r="48" spans="2:4" ht="15.75" thickBot="1">
      <c r="B48" s="28">
        <v>1</v>
      </c>
      <c r="C48" s="42">
        <v>2.11</v>
      </c>
      <c r="D48" s="41">
        <v>2.16</v>
      </c>
    </row>
    <row r="49" spans="2:8" ht="15">
      <c r="B49" s="28">
        <v>2</v>
      </c>
      <c r="C49" s="42">
        <v>2.14</v>
      </c>
      <c r="D49" s="41">
        <v>2.15</v>
      </c>
      <c r="F49" s="1"/>
      <c r="G49" s="1" t="s">
        <v>6</v>
      </c>
      <c r="H49" s="1" t="s">
        <v>7</v>
      </c>
    </row>
    <row r="50" spans="2:8" ht="15">
      <c r="B50" s="28">
        <v>3</v>
      </c>
      <c r="C50" s="42">
        <v>2.09</v>
      </c>
      <c r="D50" s="42">
        <v>2.14</v>
      </c>
      <c r="F50" s="30" t="s">
        <v>8</v>
      </c>
      <c r="G50" s="30">
        <v>2.1199999999999997</v>
      </c>
      <c r="H50" s="30">
        <v>2.141</v>
      </c>
    </row>
    <row r="51" spans="2:8" ht="15">
      <c r="B51" s="28">
        <v>4</v>
      </c>
      <c r="C51" s="42">
        <v>2.13</v>
      </c>
      <c r="D51" s="41">
        <v>2.11</v>
      </c>
      <c r="F51" s="30" t="s">
        <v>4</v>
      </c>
      <c r="G51" s="30">
        <v>0.0004000000000000017</v>
      </c>
      <c r="H51" s="30">
        <v>0.0003433333333333346</v>
      </c>
    </row>
    <row r="52" spans="2:8" ht="15">
      <c r="B52" s="28">
        <v>5</v>
      </c>
      <c r="C52" s="42">
        <v>2.12</v>
      </c>
      <c r="D52" s="42">
        <v>2.12</v>
      </c>
      <c r="F52" s="30" t="s">
        <v>9</v>
      </c>
      <c r="G52" s="30">
        <v>10</v>
      </c>
      <c r="H52" s="30">
        <v>10</v>
      </c>
    </row>
    <row r="53" spans="2:8" ht="15">
      <c r="B53" s="28">
        <v>6</v>
      </c>
      <c r="C53" s="42">
        <v>2.13</v>
      </c>
      <c r="D53" s="41">
        <v>2.16</v>
      </c>
      <c r="F53" s="30" t="s">
        <v>5</v>
      </c>
      <c r="G53" s="30">
        <v>9</v>
      </c>
      <c r="H53" s="30">
        <v>9</v>
      </c>
    </row>
    <row r="54" spans="2:8" ht="15">
      <c r="B54" s="28">
        <v>7</v>
      </c>
      <c r="C54" s="42">
        <v>2.09</v>
      </c>
      <c r="D54" s="42">
        <v>2.14</v>
      </c>
      <c r="F54" s="30" t="s">
        <v>3</v>
      </c>
      <c r="G54" s="49">
        <v>1.165048543689321</v>
      </c>
      <c r="H54" s="30"/>
    </row>
    <row r="55" spans="2:8" ht="15">
      <c r="B55" s="28">
        <v>8</v>
      </c>
      <c r="C55" s="42">
        <v>2.15</v>
      </c>
      <c r="D55" s="41">
        <v>2.15</v>
      </c>
      <c r="F55" s="30" t="s">
        <v>17</v>
      </c>
      <c r="G55" s="30">
        <v>0.41185566079710106</v>
      </c>
      <c r="H55" s="30"/>
    </row>
    <row r="56" spans="2:8" ht="15.75" thickBot="1">
      <c r="B56" s="29">
        <v>9</v>
      </c>
      <c r="C56" s="42">
        <v>2.11</v>
      </c>
      <c r="D56" s="41">
        <v>2.12</v>
      </c>
      <c r="F56" s="31" t="s">
        <v>18</v>
      </c>
      <c r="G56" s="50">
        <v>3.17889310445827</v>
      </c>
      <c r="H56" s="31"/>
    </row>
    <row r="57" spans="2:4" ht="15">
      <c r="B57" s="29">
        <v>10</v>
      </c>
      <c r="C57" s="42">
        <v>2.13</v>
      </c>
      <c r="D57" s="41">
        <v>2.16</v>
      </c>
    </row>
    <row r="59" spans="2:6" ht="12.75">
      <c r="B59" s="51" t="s">
        <v>88</v>
      </c>
      <c r="C59" s="52">
        <f>AVERAGE(C48:C58)</f>
        <v>2.1199999999999997</v>
      </c>
      <c r="D59" s="52">
        <f>AVERAGE(D48:D58)</f>
        <v>2.141</v>
      </c>
      <c r="F59" t="s">
        <v>19</v>
      </c>
    </row>
    <row r="60" spans="2:4" ht="13.5" thickBot="1">
      <c r="B60" s="51" t="s">
        <v>1</v>
      </c>
      <c r="C60" s="52">
        <f>STDEV(C48:C57)</f>
        <v>0.020000000000000042</v>
      </c>
      <c r="D60" s="52">
        <f>STDEV(D48:D57)</f>
        <v>0.018529256146249763</v>
      </c>
    </row>
    <row r="61" spans="2:8" ht="12.75">
      <c r="B61" s="51" t="s">
        <v>2</v>
      </c>
      <c r="C61" s="53">
        <f>C60*100/C59</f>
        <v>0.9433962264150964</v>
      </c>
      <c r="D61" s="53">
        <f>D60*100/D59</f>
        <v>0.8654486756772426</v>
      </c>
      <c r="F61" s="1"/>
      <c r="G61" s="1" t="s">
        <v>6</v>
      </c>
      <c r="H61" s="1" t="s">
        <v>7</v>
      </c>
    </row>
    <row r="62" spans="6:8" ht="12">
      <c r="F62" s="30" t="s">
        <v>8</v>
      </c>
      <c r="G62" s="30">
        <v>2.1199999999999997</v>
      </c>
      <c r="H62" s="30">
        <v>2.141</v>
      </c>
    </row>
    <row r="63" spans="6:8" ht="12">
      <c r="F63" s="30" t="s">
        <v>4</v>
      </c>
      <c r="G63" s="30">
        <v>0.0004000000000000017</v>
      </c>
      <c r="H63" s="30">
        <v>0.0003433333333333346</v>
      </c>
    </row>
    <row r="64" spans="6:8" ht="12">
      <c r="F64" s="30" t="s">
        <v>9</v>
      </c>
      <c r="G64" s="30">
        <v>10</v>
      </c>
      <c r="H64" s="30">
        <v>10</v>
      </c>
    </row>
    <row r="65" spans="6:8" ht="12">
      <c r="F65" s="30" t="s">
        <v>20</v>
      </c>
      <c r="G65" s="30">
        <v>0.00037166666666666815</v>
      </c>
      <c r="H65" s="30"/>
    </row>
    <row r="66" spans="6:8" ht="12">
      <c r="F66" s="30" t="s">
        <v>10</v>
      </c>
      <c r="G66" s="30">
        <v>0</v>
      </c>
      <c r="H66" s="30"/>
    </row>
    <row r="67" spans="6:8" ht="12">
      <c r="F67" s="30" t="s">
        <v>5</v>
      </c>
      <c r="G67" s="30">
        <v>18</v>
      </c>
      <c r="H67" s="30"/>
    </row>
    <row r="68" spans="6:8" ht="15">
      <c r="F68" s="30" t="s">
        <v>11</v>
      </c>
      <c r="G68" s="54">
        <v>-2.4357207200352717</v>
      </c>
      <c r="H68" s="30"/>
    </row>
    <row r="69" spans="6:8" ht="12">
      <c r="F69" s="30" t="s">
        <v>12</v>
      </c>
      <c r="G69" s="30">
        <v>0.012741782339000063</v>
      </c>
      <c r="H69" s="30"/>
    </row>
    <row r="70" spans="6:8" ht="12">
      <c r="F70" s="30" t="s">
        <v>13</v>
      </c>
      <c r="G70" s="30">
        <v>1.7340636066175394</v>
      </c>
      <c r="H70" s="30"/>
    </row>
    <row r="71" spans="6:8" ht="12">
      <c r="F71" s="30" t="s">
        <v>14</v>
      </c>
      <c r="G71" s="30">
        <v>0.025483564678000125</v>
      </c>
      <c r="H71" s="30"/>
    </row>
    <row r="72" spans="6:8" ht="15.75" thickBot="1">
      <c r="F72" s="31" t="s">
        <v>15</v>
      </c>
      <c r="G72" s="55">
        <v>2.100922040241038</v>
      </c>
      <c r="H72" s="31"/>
    </row>
    <row r="75" ht="12">
      <c r="F75" t="s">
        <v>98</v>
      </c>
    </row>
    <row r="77" ht="12.75" thickBot="1">
      <c r="F77" t="s">
        <v>99</v>
      </c>
    </row>
    <row r="78" spans="6:10" ht="12.75">
      <c r="F78" s="1" t="s">
        <v>100</v>
      </c>
      <c r="G78" s="1" t="s">
        <v>101</v>
      </c>
      <c r="H78" s="1" t="s">
        <v>102</v>
      </c>
      <c r="I78" s="1" t="s">
        <v>103</v>
      </c>
      <c r="J78" s="1" t="s">
        <v>4</v>
      </c>
    </row>
    <row r="79" spans="6:10" ht="12">
      <c r="F79" s="30" t="s">
        <v>104</v>
      </c>
      <c r="G79" s="30">
        <v>10</v>
      </c>
      <c r="H79" s="30">
        <v>21.199999999999996</v>
      </c>
      <c r="I79" s="30">
        <v>2.1199999999999997</v>
      </c>
      <c r="J79" s="30">
        <v>0.0004000000000000017</v>
      </c>
    </row>
    <row r="80" spans="6:10" ht="12.75" thickBot="1">
      <c r="F80" s="31" t="s">
        <v>105</v>
      </c>
      <c r="G80" s="31">
        <v>10</v>
      </c>
      <c r="H80" s="31">
        <v>21.41</v>
      </c>
      <c r="I80" s="31">
        <v>2.141</v>
      </c>
      <c r="J80" s="31">
        <v>0.0003433333333333346</v>
      </c>
    </row>
    <row r="83" ht="12.75" thickBot="1">
      <c r="F83" t="s">
        <v>106</v>
      </c>
    </row>
    <row r="84" spans="6:12" ht="12.75">
      <c r="F84" s="1" t="s">
        <v>107</v>
      </c>
      <c r="G84" s="1" t="s">
        <v>108</v>
      </c>
      <c r="H84" s="1" t="s">
        <v>5</v>
      </c>
      <c r="I84" s="1" t="s">
        <v>109</v>
      </c>
      <c r="J84" s="1" t="s">
        <v>3</v>
      </c>
      <c r="K84" s="1" t="s">
        <v>110</v>
      </c>
      <c r="L84" s="1" t="s">
        <v>111</v>
      </c>
    </row>
    <row r="85" spans="6:12" ht="12">
      <c r="F85" s="30" t="s">
        <v>112</v>
      </c>
      <c r="G85" s="30">
        <v>0.00220500000000003</v>
      </c>
      <c r="H85" s="30">
        <v>1</v>
      </c>
      <c r="I85" s="30">
        <v>0.00220500000000003</v>
      </c>
      <c r="J85" s="56">
        <v>5.932735426009026</v>
      </c>
      <c r="K85" s="30">
        <v>0.025483564678001322</v>
      </c>
      <c r="L85" s="56">
        <v>4.413873419170566</v>
      </c>
    </row>
    <row r="86" spans="6:12" ht="12">
      <c r="F86" s="30" t="s">
        <v>113</v>
      </c>
      <c r="G86" s="30">
        <v>0.006690000000000026</v>
      </c>
      <c r="H86" s="30">
        <v>18</v>
      </c>
      <c r="I86" s="30">
        <v>0.0003716666666666681</v>
      </c>
      <c r="J86" s="30"/>
      <c r="K86" s="30"/>
      <c r="L86" s="30"/>
    </row>
    <row r="87" spans="6:12" ht="12">
      <c r="F87" s="30"/>
      <c r="G87" s="30"/>
      <c r="H87" s="30"/>
      <c r="I87" s="30"/>
      <c r="J87" s="30"/>
      <c r="K87" s="30"/>
      <c r="L87" s="30"/>
    </row>
    <row r="88" spans="6:12" ht="12.75" thickBot="1">
      <c r="F88" s="31" t="s">
        <v>114</v>
      </c>
      <c r="G88" s="31">
        <v>0.008895000000000056</v>
      </c>
      <c r="H88" s="31">
        <v>19</v>
      </c>
      <c r="I88" s="31"/>
      <c r="J88" s="31"/>
      <c r="K88" s="31"/>
      <c r="L88" s="31"/>
    </row>
    <row r="90" s="48" customFormat="1" ht="12"/>
    <row r="92" spans="2:6" ht="12">
      <c r="B92" s="15" t="s">
        <v>39</v>
      </c>
      <c r="C92" s="15" t="s">
        <v>119</v>
      </c>
      <c r="D92" s="15" t="s">
        <v>120</v>
      </c>
      <c r="F92" t="s">
        <v>16</v>
      </c>
    </row>
    <row r="93" spans="2:4" ht="12.75" thickBot="1">
      <c r="B93" s="15">
        <v>1</v>
      </c>
      <c r="C93" s="16">
        <v>14.93</v>
      </c>
      <c r="D93" s="16">
        <v>14.96</v>
      </c>
    </row>
    <row r="94" spans="2:8" ht="12.75">
      <c r="B94" s="15">
        <v>2</v>
      </c>
      <c r="C94" s="16">
        <v>14.9</v>
      </c>
      <c r="D94" s="16">
        <v>14.98</v>
      </c>
      <c r="F94" s="1"/>
      <c r="G94" s="1" t="s">
        <v>6</v>
      </c>
      <c r="H94" s="1" t="s">
        <v>7</v>
      </c>
    </row>
    <row r="95" spans="2:8" ht="12">
      <c r="B95" s="15">
        <v>3</v>
      </c>
      <c r="C95" s="15">
        <v>14.99</v>
      </c>
      <c r="D95" s="15">
        <v>14.89</v>
      </c>
      <c r="F95" s="30" t="s">
        <v>8</v>
      </c>
      <c r="G95" s="30">
        <v>14.898000000000001</v>
      </c>
      <c r="H95" s="30">
        <v>14.883</v>
      </c>
    </row>
    <row r="96" spans="2:8" ht="12">
      <c r="B96" s="15">
        <v>4</v>
      </c>
      <c r="C96" s="15">
        <v>14.82</v>
      </c>
      <c r="D96" s="16">
        <v>15</v>
      </c>
      <c r="F96" s="30" t="s">
        <v>4</v>
      </c>
      <c r="G96" s="30">
        <v>0.008462222222222248</v>
      </c>
      <c r="H96" s="30">
        <v>0.00493444444444444</v>
      </c>
    </row>
    <row r="97" spans="2:8" ht="12">
      <c r="B97" s="15">
        <v>5</v>
      </c>
      <c r="C97" s="15">
        <v>14.93</v>
      </c>
      <c r="D97" s="15">
        <v>14.92</v>
      </c>
      <c r="F97" s="30" t="s">
        <v>9</v>
      </c>
      <c r="G97" s="30">
        <v>10</v>
      </c>
      <c r="H97" s="30">
        <v>10</v>
      </c>
    </row>
    <row r="98" spans="2:8" ht="12">
      <c r="B98" s="15">
        <v>6</v>
      </c>
      <c r="C98" s="15">
        <v>14.91</v>
      </c>
      <c r="D98" s="15">
        <v>14.82</v>
      </c>
      <c r="F98" s="30" t="s">
        <v>5</v>
      </c>
      <c r="G98" s="30">
        <v>9</v>
      </c>
      <c r="H98" s="30">
        <v>9</v>
      </c>
    </row>
    <row r="99" spans="2:8" ht="15">
      <c r="B99" s="15">
        <v>7</v>
      </c>
      <c r="C99" s="15">
        <v>14.86</v>
      </c>
      <c r="D99" s="16">
        <v>14.9</v>
      </c>
      <c r="F99" s="30" t="s">
        <v>3</v>
      </c>
      <c r="G99" s="49">
        <v>1.7149290700292794</v>
      </c>
      <c r="H99" s="30"/>
    </row>
    <row r="100" spans="2:8" ht="12">
      <c r="B100" s="15">
        <v>8</v>
      </c>
      <c r="C100" s="15">
        <v>14.92</v>
      </c>
      <c r="D100" s="16">
        <v>14.93</v>
      </c>
      <c r="F100" s="30" t="s">
        <v>17</v>
      </c>
      <c r="G100" s="30">
        <v>0.21699534591068742</v>
      </c>
      <c r="H100" s="30"/>
    </row>
    <row r="101" spans="2:8" ht="15.75" thickBot="1">
      <c r="B101" s="15">
        <v>9</v>
      </c>
      <c r="C101" s="15">
        <v>14.82</v>
      </c>
      <c r="D101" s="16">
        <v>14.9</v>
      </c>
      <c r="F101" s="31" t="s">
        <v>18</v>
      </c>
      <c r="G101" s="50">
        <v>3.17889310445827</v>
      </c>
      <c r="H101" s="31"/>
    </row>
    <row r="102" spans="2:4" ht="12.75">
      <c r="B102" s="15">
        <v>10</v>
      </c>
      <c r="C102" s="15">
        <v>14.75</v>
      </c>
      <c r="D102" s="16">
        <v>14.68</v>
      </c>
    </row>
    <row r="103" spans="2:6" ht="12.75">
      <c r="B103" s="15"/>
      <c r="C103" s="15"/>
      <c r="D103" s="16"/>
      <c r="F103" t="s">
        <v>19</v>
      </c>
    </row>
    <row r="104" spans="2:4" ht="12.75">
      <c r="B104" s="15" t="s">
        <v>0</v>
      </c>
      <c r="C104" s="16">
        <f>AVERAGE(C93:C103)</f>
        <v>14.883</v>
      </c>
      <c r="D104" s="16">
        <f>AVERAGE(D93:D103)</f>
        <v>14.898000000000001</v>
      </c>
    </row>
    <row r="105" spans="2:8" ht="12.75">
      <c r="B105" s="15" t="s">
        <v>1</v>
      </c>
      <c r="C105" s="17">
        <f>STDEVA(C93:C102)</f>
        <v>0.07024560089033648</v>
      </c>
      <c r="D105" s="17">
        <f>STDEVA(D93:D102)</f>
        <v>0.09199033765685528</v>
      </c>
      <c r="G105" t="s">
        <v>6</v>
      </c>
      <c r="H105" t="s">
        <v>7</v>
      </c>
    </row>
    <row r="106" spans="2:8" ht="12.75">
      <c r="B106" s="15" t="s">
        <v>2</v>
      </c>
      <c r="C106" s="16">
        <f>C105*100/C104</f>
        <v>0.4719854927792547</v>
      </c>
      <c r="D106" s="16">
        <f>D105*100/D104</f>
        <v>0.6174676980591709</v>
      </c>
      <c r="F106" t="s">
        <v>8</v>
      </c>
      <c r="G106">
        <v>14.883</v>
      </c>
      <c r="H106">
        <v>14.898000000000001</v>
      </c>
    </row>
    <row r="107" spans="6:8" ht="12.75">
      <c r="F107" t="s">
        <v>4</v>
      </c>
      <c r="G107">
        <v>0.00493444444444444</v>
      </c>
      <c r="H107">
        <v>0.008462222222222248</v>
      </c>
    </row>
    <row r="108" spans="6:8" ht="12">
      <c r="F108" t="s">
        <v>9</v>
      </c>
      <c r="G108">
        <v>10</v>
      </c>
      <c r="H108">
        <v>10</v>
      </c>
    </row>
    <row r="109" spans="6:7" ht="12">
      <c r="F109" t="s">
        <v>20</v>
      </c>
      <c r="G109">
        <v>0.006698333333333344</v>
      </c>
    </row>
    <row r="110" spans="6:7" ht="12">
      <c r="F110" t="s">
        <v>10</v>
      </c>
      <c r="G110">
        <v>0</v>
      </c>
    </row>
    <row r="111" spans="6:7" ht="12">
      <c r="F111" t="s">
        <v>5</v>
      </c>
      <c r="G111">
        <v>18</v>
      </c>
    </row>
    <row r="112" spans="6:7" ht="15">
      <c r="F112" t="s">
        <v>11</v>
      </c>
      <c r="G112" s="57">
        <v>-0.4098197493071462</v>
      </c>
    </row>
    <row r="113" spans="6:7" ht="12">
      <c r="F113" t="s">
        <v>12</v>
      </c>
      <c r="G113">
        <v>0.3433871546250763</v>
      </c>
    </row>
    <row r="114" spans="6:7" ht="12">
      <c r="F114" t="s">
        <v>13</v>
      </c>
      <c r="G114">
        <v>1.7340636066175394</v>
      </c>
    </row>
    <row r="115" spans="6:7" ht="12">
      <c r="F115" t="s">
        <v>14</v>
      </c>
      <c r="G115">
        <v>0.6867743092501526</v>
      </c>
    </row>
    <row r="116" spans="6:7" ht="15">
      <c r="F116" t="s">
        <v>15</v>
      </c>
      <c r="G116" s="57">
        <v>2.100922040241038</v>
      </c>
    </row>
    <row r="118" ht="12">
      <c r="F118" t="s">
        <v>98</v>
      </c>
    </row>
    <row r="120" ht="12.75" thickBot="1">
      <c r="F120" t="s">
        <v>99</v>
      </c>
    </row>
    <row r="121" spans="6:10" ht="12.75">
      <c r="F121" s="1" t="s">
        <v>100</v>
      </c>
      <c r="G121" s="1" t="s">
        <v>101</v>
      </c>
      <c r="H121" s="1" t="s">
        <v>102</v>
      </c>
      <c r="I121" s="1" t="s">
        <v>103</v>
      </c>
      <c r="J121" s="1" t="s">
        <v>4</v>
      </c>
    </row>
    <row r="122" spans="6:10" ht="12">
      <c r="F122" s="30" t="s">
        <v>104</v>
      </c>
      <c r="G122" s="30">
        <v>10</v>
      </c>
      <c r="H122" s="30">
        <v>148.82999999999998</v>
      </c>
      <c r="I122" s="30">
        <v>14.883</v>
      </c>
      <c r="J122" s="30">
        <v>0.00493444444444444</v>
      </c>
    </row>
    <row r="123" spans="6:10" ht="12.75" thickBot="1">
      <c r="F123" s="31" t="s">
        <v>105</v>
      </c>
      <c r="G123" s="31">
        <v>10</v>
      </c>
      <c r="H123" s="31">
        <v>148.98000000000002</v>
      </c>
      <c r="I123" s="31">
        <v>14.898000000000001</v>
      </c>
      <c r="J123" s="31">
        <v>0.008462222222222248</v>
      </c>
    </row>
    <row r="126" ht="12.75" thickBot="1">
      <c r="F126" t="s">
        <v>106</v>
      </c>
    </row>
    <row r="127" spans="6:12" ht="12.75">
      <c r="F127" s="1" t="s">
        <v>107</v>
      </c>
      <c r="G127" s="1" t="s">
        <v>108</v>
      </c>
      <c r="H127" s="1" t="s">
        <v>5</v>
      </c>
      <c r="I127" s="1" t="s">
        <v>109</v>
      </c>
      <c r="J127" s="1" t="s">
        <v>3</v>
      </c>
      <c r="K127" s="1" t="s">
        <v>110</v>
      </c>
      <c r="L127" s="1" t="s">
        <v>111</v>
      </c>
    </row>
    <row r="128" spans="6:12" ht="15">
      <c r="F128" s="30" t="s">
        <v>112</v>
      </c>
      <c r="G128" s="30">
        <v>0.0011250000000000288</v>
      </c>
      <c r="H128" s="30">
        <v>1</v>
      </c>
      <c r="I128" s="30">
        <v>0.0011250000000000288</v>
      </c>
      <c r="J128" s="49">
        <v>0.16795222692212394</v>
      </c>
      <c r="K128" s="30">
        <v>0.6867743092501949</v>
      </c>
      <c r="L128" s="49">
        <v>4.413873419170566</v>
      </c>
    </row>
    <row r="129" spans="6:12" ht="12">
      <c r="F129" s="30" t="s">
        <v>113</v>
      </c>
      <c r="G129" s="30">
        <v>0.12057000000000019</v>
      </c>
      <c r="H129" s="30">
        <v>18</v>
      </c>
      <c r="I129" s="30">
        <v>0.006698333333333344</v>
      </c>
      <c r="J129" s="30"/>
      <c r="K129" s="30"/>
      <c r="L129" s="30"/>
    </row>
    <row r="130" spans="6:12" ht="12">
      <c r="F130" s="30"/>
      <c r="G130" s="30"/>
      <c r="H130" s="30"/>
      <c r="I130" s="30"/>
      <c r="J130" s="30"/>
      <c r="K130" s="30"/>
      <c r="L130" s="30"/>
    </row>
    <row r="131" spans="6:12" ht="12.75" thickBot="1">
      <c r="F131" s="31" t="s">
        <v>114</v>
      </c>
      <c r="G131" s="31">
        <v>0.12169500000000022</v>
      </c>
      <c r="H131" s="31">
        <v>19</v>
      </c>
      <c r="I131" s="31"/>
      <c r="J131" s="31"/>
      <c r="K131" s="31"/>
      <c r="L131" s="3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9:P128"/>
  <sheetViews>
    <sheetView zoomScale="115" zoomScaleNormal="115" zoomScalePageLayoutView="0" workbookViewId="0" topLeftCell="A57">
      <selection activeCell="B51" sqref="B51:D51"/>
    </sheetView>
  </sheetViews>
  <sheetFormatPr defaultColWidth="9.140625" defaultRowHeight="12.75"/>
  <cols>
    <col min="4" max="4" width="10.140625" style="0" bestFit="1" customWidth="1"/>
    <col min="5" max="6" width="14.140625" style="0" customWidth="1"/>
    <col min="7" max="7" width="17.57421875" style="0" customWidth="1"/>
  </cols>
  <sheetData>
    <row r="29" spans="1:16" ht="14.25">
      <c r="A29" s="28" t="s">
        <v>137</v>
      </c>
      <c r="B29" s="28" t="s">
        <v>138</v>
      </c>
      <c r="C29" s="28" t="s">
        <v>139</v>
      </c>
      <c r="D29" s="28" t="s">
        <v>140</v>
      </c>
      <c r="E29" s="7" t="s">
        <v>141</v>
      </c>
      <c r="F29" s="60" t="s">
        <v>142</v>
      </c>
      <c r="G29" s="60" t="s">
        <v>143</v>
      </c>
      <c r="P29">
        <f>0.02*1^0.85</f>
        <v>0.02</v>
      </c>
    </row>
    <row r="30" spans="1:7" ht="12.75">
      <c r="A30" s="28"/>
      <c r="B30" s="28">
        <v>100</v>
      </c>
      <c r="C30" s="28" t="s">
        <v>144</v>
      </c>
      <c r="D30" s="28">
        <v>1</v>
      </c>
      <c r="E30" s="28">
        <v>2</v>
      </c>
      <c r="F30" s="28">
        <f aca="true" t="shared" si="0" ref="F30:F35">D30^-0.15</f>
        <v>1</v>
      </c>
      <c r="G30" s="28">
        <f aca="true" t="shared" si="1" ref="G30:G35">2*D30^-0.15</f>
        <v>2</v>
      </c>
    </row>
    <row r="31" spans="1:7" ht="12.75">
      <c r="A31" s="28"/>
      <c r="B31" s="28">
        <v>1</v>
      </c>
      <c r="C31" s="28" t="s">
        <v>144</v>
      </c>
      <c r="D31" s="28">
        <v>0.01</v>
      </c>
      <c r="E31" s="28">
        <v>4</v>
      </c>
      <c r="F31" s="61">
        <f t="shared" si="0"/>
        <v>1.9952623149688793</v>
      </c>
      <c r="G31" s="61">
        <f t="shared" si="1"/>
        <v>3.9905246299377586</v>
      </c>
    </row>
    <row r="32" spans="1:7" ht="12.75">
      <c r="A32" s="28"/>
      <c r="B32" s="28">
        <v>0.01</v>
      </c>
      <c r="C32" s="28" t="s">
        <v>144</v>
      </c>
      <c r="D32" s="28">
        <v>0.0001</v>
      </c>
      <c r="E32" s="28">
        <v>8</v>
      </c>
      <c r="F32" s="61">
        <f t="shared" si="0"/>
        <v>3.981071705534972</v>
      </c>
      <c r="G32" s="61">
        <f t="shared" si="1"/>
        <v>7.962143411069944</v>
      </c>
    </row>
    <row r="33" spans="1:7" ht="14.25">
      <c r="A33" s="28"/>
      <c r="B33" s="7" t="s">
        <v>145</v>
      </c>
      <c r="C33" s="7"/>
      <c r="D33" s="28">
        <v>1E-06</v>
      </c>
      <c r="E33" s="28">
        <v>16</v>
      </c>
      <c r="F33" s="61">
        <f t="shared" si="0"/>
        <v>7.943282347242815</v>
      </c>
      <c r="G33" s="40">
        <f t="shared" si="1"/>
        <v>15.88656469448563</v>
      </c>
    </row>
    <row r="34" spans="1:7" ht="14.25">
      <c r="A34" s="28"/>
      <c r="B34" s="7" t="s">
        <v>77</v>
      </c>
      <c r="C34" s="28"/>
      <c r="D34" s="28">
        <v>1E-08</v>
      </c>
      <c r="E34" s="28">
        <v>32</v>
      </c>
      <c r="F34" s="61">
        <f t="shared" si="0"/>
        <v>15.848931924611136</v>
      </c>
      <c r="G34" s="40">
        <f t="shared" si="1"/>
        <v>31.697863849222273</v>
      </c>
    </row>
    <row r="35" spans="1:7" ht="14.25">
      <c r="A35" s="28"/>
      <c r="B35" s="7" t="s">
        <v>146</v>
      </c>
      <c r="C35" s="62"/>
      <c r="D35" s="28">
        <v>1E-09</v>
      </c>
      <c r="E35" s="28">
        <v>45</v>
      </c>
      <c r="F35" s="61">
        <f t="shared" si="0"/>
        <v>22.387211385683397</v>
      </c>
      <c r="G35" s="40">
        <f t="shared" si="1"/>
        <v>44.774422771366794</v>
      </c>
    </row>
    <row r="50" ht="12.75">
      <c r="B50" t="s">
        <v>151</v>
      </c>
    </row>
    <row r="51" ht="12.75">
      <c r="B51" t="s">
        <v>152</v>
      </c>
    </row>
    <row r="126" spans="3:6" ht="12">
      <c r="C126" s="29" t="s">
        <v>144</v>
      </c>
      <c r="D126" s="29" t="s">
        <v>195</v>
      </c>
      <c r="E126" s="29" t="s">
        <v>196</v>
      </c>
      <c r="F126" s="29" t="s">
        <v>150</v>
      </c>
    </row>
    <row r="127" spans="3:6" ht="12">
      <c r="C127" s="28">
        <v>2.3</v>
      </c>
      <c r="D127" s="28">
        <f>C127/100</f>
        <v>0.023</v>
      </c>
      <c r="E127" s="53">
        <f>0.02*C127^0.85</f>
        <v>0.04059744071517805</v>
      </c>
      <c r="F127" s="53">
        <f>D127^-0.15</f>
        <v>1.7609248596343043</v>
      </c>
    </row>
    <row r="128" spans="3:6" ht="12">
      <c r="C128" s="28"/>
      <c r="D128" s="28"/>
      <c r="E128" s="53">
        <f>E127*100/C127</f>
        <v>1.7651061180512195</v>
      </c>
      <c r="F128" s="53"/>
    </row>
  </sheetData>
  <sheetProtection/>
  <printOptions/>
  <pageMargins left="0.7" right="0.7" top="0.75" bottom="0.75" header="0.3" footer="0.3"/>
  <pageSetup horizontalDpi="600" verticalDpi="600" orientation="portrait" paperSize="9" r:id="rId16"/>
  <drawing r:id="rId15"/>
  <legacyDrawing r:id="rId14"/>
  <oleObjects>
    <oleObject progId="Equation.3" shapeId="43535" r:id="rId1"/>
    <oleObject progId="Equation.3" shapeId="44284" r:id="rId2"/>
    <oleObject progId="Equation.3" shapeId="44286" r:id="rId3"/>
    <oleObject progId="Equation.3" shapeId="46300" r:id="rId4"/>
    <oleObject progId="Equation.3" shapeId="59464" r:id="rId5"/>
    <oleObject progId="Equation.3" shapeId="60251" r:id="rId6"/>
    <oleObject progId="Equation.3" shapeId="61729" r:id="rId7"/>
    <oleObject progId="Equation.3" shapeId="63243" r:id="rId8"/>
    <oleObject progId="Equation.3" shapeId="89712" r:id="rId9"/>
    <oleObject progId="Equation.3" shapeId="89713" r:id="rId10"/>
    <oleObject progId="Equation.3" shapeId="10550262" r:id="rId11"/>
    <oleObject progId="Equation.3" shapeId="11354267" r:id="rId12"/>
    <oleObject progId="Equation.3" shapeId="11362451" r:id="rId1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ibrahima</dc:creator>
  <cp:keywords/>
  <dc:description/>
  <cp:lastModifiedBy>ibrahim</cp:lastModifiedBy>
  <cp:lastPrinted>2005-12-09T09:25:54Z</cp:lastPrinted>
  <dcterms:created xsi:type="dcterms:W3CDTF">2003-02-18T13:20:49Z</dcterms:created>
  <dcterms:modified xsi:type="dcterms:W3CDTF">2016-05-13T04:28:49Z</dcterms:modified>
  <cp:category/>
  <cp:version/>
  <cp:contentType/>
  <cp:contentStatus/>
</cp:coreProperties>
</file>